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C:\Users\srmule\Desktop\TCO - SMR\Supporting Docs\CMRT to be finalized\"/>
    </mc:Choice>
  </mc:AlternateContent>
  <xr:revisionPtr revIDLastSave="0" documentId="13_ncr:1_{A4C683B9-B288-405A-9592-05A2D6BC7C69}"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F221" i="5" s="1"/>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G165" i="5" s="1"/>
  <c r="V162" i="5"/>
  <c r="V161" i="5"/>
  <c r="G161" i="5" s="1"/>
  <c r="V159" i="5"/>
  <c r="V158" i="5"/>
  <c r="V157" i="5"/>
  <c r="R157" i="5" s="1"/>
  <c r="V155" i="5"/>
  <c r="V154" i="5"/>
  <c r="V153" i="5"/>
  <c r="R153" i="5" s="1"/>
  <c r="V150" i="5"/>
  <c r="X150" i="5" s="1"/>
  <c r="V149" i="5"/>
  <c r="V147" i="5"/>
  <c r="G147" i="5" s="1"/>
  <c r="V146" i="5"/>
  <c r="V145" i="5"/>
  <c r="F145" i="5" s="1"/>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G101" i="5" s="1"/>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58" i="5"/>
  <c r="Q4" i="5" l="1"/>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F235" i="5"/>
  <c r="E1753" i="5"/>
  <c r="X1753" i="5" s="1"/>
  <c r="H1753" i="5"/>
  <c r="X75" i="5"/>
  <c r="I764" i="5"/>
  <c r="I2158" i="5"/>
  <c r="R70" i="5"/>
  <c r="G80" i="5"/>
  <c r="G242" i="5"/>
  <c r="G291" i="5"/>
  <c r="AB364" i="5"/>
  <c r="R488" i="5"/>
  <c r="G761" i="5"/>
  <c r="H1178" i="5"/>
  <c r="J1218" i="5"/>
  <c r="J1250" i="5"/>
  <c r="AB1312" i="5"/>
  <c r="F2013" i="5"/>
  <c r="V2061" i="5"/>
  <c r="E2061" i="5" s="1"/>
  <c r="X2061" i="5" s="1"/>
  <c r="AB2065" i="5"/>
  <c r="AB2152" i="5"/>
  <c r="H2474" i="5"/>
  <c r="G42" i="5"/>
  <c r="X171" i="5"/>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G187"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I802" i="5"/>
  <c r="F802" i="5"/>
  <c r="I940" i="5"/>
  <c r="H940" i="5"/>
  <c r="F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X59" i="5"/>
  <c r="X235" i="5"/>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F25" i="5"/>
  <c r="G25" i="5"/>
  <c r="X25" i="5"/>
  <c r="R97" i="5"/>
  <c r="X97" i="5"/>
  <c r="F79" i="5"/>
  <c r="X79" i="5"/>
  <c r="G79" i="5"/>
  <c r="X47" i="5"/>
  <c r="G47" i="5"/>
  <c r="F47" i="5"/>
  <c r="R127" i="5"/>
  <c r="X127" i="5"/>
  <c r="V330" i="5"/>
  <c r="G330" i="5" s="1"/>
  <c r="T895" i="5"/>
  <c r="AB895" i="5"/>
  <c r="S895" i="5"/>
  <c r="AB1863" i="5"/>
  <c r="T1863" i="5"/>
  <c r="S1863" i="5"/>
  <c r="R54" i="5"/>
  <c r="G59" i="5"/>
  <c r="G64" i="5"/>
  <c r="R74" i="5"/>
  <c r="V91" i="5"/>
  <c r="G91" i="5" s="1"/>
  <c r="V189" i="5"/>
  <c r="R189" i="5" s="1"/>
  <c r="AB210" i="5"/>
  <c r="R225" i="5"/>
  <c r="F225" i="5"/>
  <c r="X225" i="5"/>
  <c r="V243" i="5"/>
  <c r="G243" i="5" s="1"/>
  <c r="F309" i="5"/>
  <c r="E309" i="5"/>
  <c r="F357" i="5"/>
  <c r="E357" i="5"/>
  <c r="G399" i="5"/>
  <c r="V463" i="5"/>
  <c r="R463" i="5" s="1"/>
  <c r="G586" i="5"/>
  <c r="F586" i="5"/>
  <c r="I714" i="5"/>
  <c r="J714" i="5"/>
  <c r="T738" i="5"/>
  <c r="S738" i="5"/>
  <c r="R94" i="5"/>
  <c r="AB170" i="5"/>
  <c r="E452" i="5"/>
  <c r="X452" i="5" s="1"/>
  <c r="H452" i="5"/>
  <c r="F452" i="5"/>
  <c r="S1497" i="5"/>
  <c r="T1497" i="5"/>
  <c r="X26" i="5"/>
  <c r="X63" i="5"/>
  <c r="G94" i="5"/>
  <c r="V102" i="5"/>
  <c r="G102" i="5" s="1"/>
  <c r="F147" i="5"/>
  <c r="V207" i="5"/>
  <c r="R237" i="5"/>
  <c r="F237" i="5"/>
  <c r="X237" i="5"/>
  <c r="V262" i="5"/>
  <c r="J262" i="5" s="1"/>
  <c r="AB262" i="5"/>
  <c r="AB298" i="5"/>
  <c r="E451" i="5"/>
  <c r="F451" i="5"/>
  <c r="R453" i="5"/>
  <c r="J453" i="5"/>
  <c r="H453" i="5"/>
  <c r="F453" i="5"/>
  <c r="X107" i="5"/>
  <c r="R125" i="5"/>
  <c r="G125" i="5"/>
  <c r="T1447" i="5"/>
  <c r="AB1447" i="5"/>
  <c r="S1447" i="5"/>
  <c r="V43" i="5"/>
  <c r="F43" i="5" s="1"/>
  <c r="R22" i="5"/>
  <c r="G38" i="5"/>
  <c r="G55" i="5"/>
  <c r="G58" i="5"/>
  <c r="F63" i="5"/>
  <c r="G78" i="5"/>
  <c r="V87" i="5"/>
  <c r="R90" i="5"/>
  <c r="AB114" i="5"/>
  <c r="R123" i="5"/>
  <c r="G126" i="5"/>
  <c r="R167" i="5"/>
  <c r="X187" i="5"/>
  <c r="R187" i="5"/>
  <c r="G275" i="5"/>
  <c r="I275" i="5"/>
  <c r="F275" i="5"/>
  <c r="V306" i="5"/>
  <c r="G306" i="5" s="1"/>
  <c r="I361" i="5"/>
  <c r="J361" i="5"/>
  <c r="H361" i="5"/>
  <c r="F361" i="5"/>
  <c r="V391" i="5"/>
  <c r="G391" i="5" s="1"/>
  <c r="G451" i="5"/>
  <c r="I479" i="5"/>
  <c r="H479" i="5"/>
  <c r="E479" i="5"/>
  <c r="X479" i="5" s="1"/>
  <c r="V574" i="5"/>
  <c r="F574" i="5" s="1"/>
  <c r="T641" i="5"/>
  <c r="S641" i="5"/>
  <c r="R59" i="5"/>
  <c r="G63" i="5"/>
  <c r="R111" i="5"/>
  <c r="R171" i="5"/>
  <c r="G171" i="5"/>
  <c r="V194" i="5"/>
  <c r="V314" i="5"/>
  <c r="G314" i="5" s="1"/>
  <c r="E468" i="5"/>
  <c r="X468" i="5" s="1"/>
  <c r="F468" i="5"/>
  <c r="V562" i="5"/>
  <c r="R562" i="5" s="1"/>
  <c r="I1848" i="5"/>
  <c r="H1848" i="5"/>
  <c r="G107" i="5"/>
  <c r="V115" i="5"/>
  <c r="AB166" i="5"/>
  <c r="V201" i="5"/>
  <c r="R201" i="5" s="1"/>
  <c r="R245" i="5"/>
  <c r="G245" i="5"/>
  <c r="I461" i="5"/>
  <c r="F461" i="5"/>
  <c r="J552" i="5"/>
  <c r="H552" i="5"/>
  <c r="G48" i="5"/>
  <c r="G74" i="5"/>
  <c r="G86" i="5"/>
  <c r="AB178" i="5"/>
  <c r="V215" i="5"/>
  <c r="G215" i="5" s="1"/>
  <c r="R299" i="5"/>
  <c r="J299" i="5"/>
  <c r="E392" i="5"/>
  <c r="X392" i="5" s="1"/>
  <c r="I392" i="5"/>
  <c r="H392" i="5"/>
  <c r="AB110" i="5"/>
  <c r="R30" i="5"/>
  <c r="G54" i="5"/>
  <c r="G62" i="5"/>
  <c r="V71"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V175" i="5"/>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F169" i="5"/>
  <c r="R169" i="5"/>
  <c r="G169" i="5"/>
  <c r="X169" i="5"/>
  <c r="F195" i="5"/>
  <c r="X195" i="5"/>
  <c r="R195" i="5"/>
  <c r="G195" i="5"/>
  <c r="R67" i="5"/>
  <c r="X67" i="5"/>
  <c r="F67" i="5"/>
  <c r="R19" i="5"/>
  <c r="G19" i="5"/>
  <c r="X19" i="5"/>
  <c r="X35" i="5"/>
  <c r="R35" i="5"/>
  <c r="F35" i="5"/>
  <c r="R139" i="5"/>
  <c r="X139" i="5"/>
  <c r="F139" i="5"/>
  <c r="X193" i="5"/>
  <c r="F193" i="5"/>
  <c r="X227" i="5"/>
  <c r="R227" i="5"/>
  <c r="F227" i="5"/>
  <c r="R41" i="5"/>
  <c r="X41" i="5"/>
  <c r="R143" i="5"/>
  <c r="F143" i="5"/>
  <c r="G143" i="5"/>
  <c r="X143" i="5"/>
  <c r="F177" i="5"/>
  <c r="X177" i="5"/>
  <c r="R177" i="5"/>
  <c r="F183" i="5"/>
  <c r="X183" i="5"/>
  <c r="R183" i="5"/>
  <c r="G183" i="5"/>
  <c r="R241" i="5"/>
  <c r="F241" i="5"/>
  <c r="H247" i="5"/>
  <c r="I247" i="5"/>
  <c r="E247" i="5"/>
  <c r="X247" i="5" s="1"/>
  <c r="F247" i="5"/>
  <c r="R247" i="5"/>
  <c r="J247" i="5"/>
  <c r="H259" i="5"/>
  <c r="E259" i="5"/>
  <c r="X259" i="5" s="1"/>
  <c r="R259" i="5"/>
  <c r="G259" i="5"/>
  <c r="J259" i="5"/>
  <c r="I259" i="5"/>
  <c r="F259" i="5"/>
  <c r="F173" i="5"/>
  <c r="R173" i="5"/>
  <c r="R93" i="5"/>
  <c r="X93" i="5"/>
  <c r="R99" i="5"/>
  <c r="X99" i="5"/>
  <c r="F99" i="5"/>
  <c r="F135" i="5"/>
  <c r="R135" i="5"/>
  <c r="G135" i="5"/>
  <c r="X135" i="5"/>
  <c r="X159" i="5"/>
  <c r="R159" i="5"/>
  <c r="F159" i="5"/>
  <c r="I373" i="5"/>
  <c r="R373" i="5"/>
  <c r="J373" i="5"/>
  <c r="H373" i="5"/>
  <c r="F373" i="5"/>
  <c r="E373" i="5"/>
  <c r="G27" i="5"/>
  <c r="X27" i="5"/>
  <c r="R27" i="5"/>
  <c r="R83" i="5"/>
  <c r="F83" i="5"/>
  <c r="X83" i="5"/>
  <c r="R51" i="5"/>
  <c r="X51" i="5"/>
  <c r="F51" i="5"/>
  <c r="R77" i="5"/>
  <c r="X77" i="5"/>
  <c r="R89" i="5"/>
  <c r="X89" i="5"/>
  <c r="X129" i="5"/>
  <c r="F129" i="5"/>
  <c r="R199" i="5"/>
  <c r="F199" i="5"/>
  <c r="G199" i="5"/>
  <c r="X199" i="5"/>
  <c r="F131" i="5"/>
  <c r="X131" i="5"/>
  <c r="R131" i="5"/>
  <c r="G131" i="5"/>
  <c r="R57" i="5"/>
  <c r="X57" i="5"/>
  <c r="F105" i="5"/>
  <c r="R105" i="5"/>
  <c r="G105" i="5"/>
  <c r="X105" i="5"/>
  <c r="F119" i="5"/>
  <c r="X119" i="5"/>
  <c r="R119" i="5"/>
  <c r="G119" i="5"/>
  <c r="G197" i="5"/>
  <c r="R197" i="5"/>
  <c r="F197" i="5"/>
  <c r="R223" i="5"/>
  <c r="F223" i="5"/>
  <c r="X223" i="5"/>
  <c r="R229" i="5"/>
  <c r="F229" i="5"/>
  <c r="X229" i="5"/>
  <c r="R337" i="5"/>
  <c r="J337" i="5"/>
  <c r="H337" i="5"/>
  <c r="F337" i="5"/>
  <c r="E337" i="5"/>
  <c r="X337" i="5" s="1"/>
  <c r="X31" i="5"/>
  <c r="F31" i="5"/>
  <c r="F113" i="5"/>
  <c r="X113" i="5"/>
  <c r="R113" i="5"/>
  <c r="R155" i="5"/>
  <c r="X155" i="5"/>
  <c r="F155" i="5"/>
  <c r="R203" i="5"/>
  <c r="X203" i="5"/>
  <c r="F203" i="5"/>
  <c r="R249" i="5"/>
  <c r="E249" i="5"/>
  <c r="F249" i="5"/>
  <c r="R39" i="5"/>
  <c r="R5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G84" i="5"/>
  <c r="G113" i="5"/>
  <c r="G158" i="5"/>
  <c r="G177"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36" i="5"/>
  <c r="R42" i="5"/>
  <c r="G35" i="5"/>
  <c r="X45" i="5"/>
  <c r="G50" i="5"/>
  <c r="G51" i="5"/>
  <c r="X55" i="5"/>
  <c r="G66" i="5"/>
  <c r="G67" i="5"/>
  <c r="G82" i="5"/>
  <c r="G83" i="5"/>
  <c r="G98" i="5"/>
  <c r="G99" i="5"/>
  <c r="AB118" i="5"/>
  <c r="G121" i="5"/>
  <c r="G129" i="5"/>
  <c r="AB130" i="5"/>
  <c r="G139" i="5"/>
  <c r="G155" i="5"/>
  <c r="G159" i="5"/>
  <c r="X179" i="5"/>
  <c r="AB182" i="5"/>
  <c r="G185" i="5"/>
  <c r="G193" i="5"/>
  <c r="AB194" i="5"/>
  <c r="G203" i="5"/>
  <c r="G231"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G52" i="5"/>
  <c r="R58" i="5"/>
  <c r="X23" i="5"/>
  <c r="G24" i="5"/>
  <c r="AB26" i="5"/>
  <c r="G31" i="5"/>
  <c r="G34" i="5"/>
  <c r="X39" i="5"/>
  <c r="AB22" i="5"/>
  <c r="F23" i="5"/>
  <c r="R25" i="5"/>
  <c r="G30" i="5"/>
  <c r="F39" i="5"/>
  <c r="G40" i="5"/>
  <c r="R47" i="5"/>
  <c r="F55" i="5"/>
  <c r="G56" i="5"/>
  <c r="R63" i="5"/>
  <c r="G72" i="5"/>
  <c r="R79" i="5"/>
  <c r="G88" i="5"/>
  <c r="R95" i="5"/>
  <c r="AB108" i="5"/>
  <c r="X111" i="5"/>
  <c r="AB124" i="5"/>
  <c r="AB128" i="5"/>
  <c r="X137" i="5"/>
  <c r="AB146" i="5"/>
  <c r="R147" i="5"/>
  <c r="G154" i="5"/>
  <c r="G157" i="5"/>
  <c r="G162" i="5"/>
  <c r="X166" i="5"/>
  <c r="X167" i="5"/>
  <c r="AB172" i="5"/>
  <c r="F179" i="5"/>
  <c r="AB188" i="5"/>
  <c r="AB192" i="5"/>
  <c r="AB206" i="5"/>
  <c r="AB214" i="5"/>
  <c r="AB226" i="5"/>
  <c r="X231" i="5"/>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F111" i="5"/>
  <c r="AB134" i="5"/>
  <c r="F137" i="5"/>
  <c r="F141" i="5"/>
  <c r="AB142" i="5"/>
  <c r="X145" i="5"/>
  <c r="X161" i="5"/>
  <c r="F167" i="5"/>
  <c r="AB198"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R443" i="5" s="1"/>
  <c r="E456" i="5"/>
  <c r="R456" i="5"/>
  <c r="I456" i="5"/>
  <c r="H456" i="5"/>
  <c r="R760" i="5"/>
  <c r="I760" i="5"/>
  <c r="F760" i="5"/>
  <c r="E760" i="5"/>
  <c r="X760" i="5" s="1"/>
  <c r="G317" i="5"/>
  <c r="R317" i="5"/>
  <c r="J317" i="5"/>
  <c r="H317" i="5"/>
  <c r="G23" i="5"/>
  <c r="X33" i="5"/>
  <c r="G39" i="5"/>
  <c r="X49" i="5"/>
  <c r="X65" i="5"/>
  <c r="X81" i="5"/>
  <c r="G22" i="5"/>
  <c r="G44" i="5"/>
  <c r="F59" i="5"/>
  <c r="G60" i="5"/>
  <c r="F75" i="5"/>
  <c r="G76" i="5"/>
  <c r="G92" i="5"/>
  <c r="F101" i="5"/>
  <c r="F107" i="5"/>
  <c r="X110" i="5"/>
  <c r="F123" i="5"/>
  <c r="F127" i="5"/>
  <c r="AB138" i="5"/>
  <c r="G145" i="5"/>
  <c r="AB154" i="5"/>
  <c r="AB158" i="5"/>
  <c r="F161" i="5"/>
  <c r="F165" i="5"/>
  <c r="F171" i="5"/>
  <c r="F187" i="5"/>
  <c r="AB202" i="5"/>
  <c r="G219" i="5"/>
  <c r="AB223" i="5"/>
  <c r="G235" i="5"/>
  <c r="AB238" i="5"/>
  <c r="X245" i="5"/>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53" i="5"/>
  <c r="X69" i="5"/>
  <c r="X85" i="5"/>
  <c r="G90" i="5"/>
  <c r="X95" i="5"/>
  <c r="R101" i="5"/>
  <c r="R145" i="5"/>
  <c r="X147" i="5"/>
  <c r="G153" i="5"/>
  <c r="AB162" i="5"/>
  <c r="R165" i="5"/>
  <c r="G223" i="5"/>
  <c r="AB227"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G6" i="5"/>
  <c r="F19" i="6"/>
  <c r="X341" i="5"/>
  <c r="X304" i="5"/>
  <c r="AB23" i="5"/>
  <c r="X28" i="5"/>
  <c r="V112" i="5"/>
  <c r="G112" i="5" s="1"/>
  <c r="AB115" i="5"/>
  <c r="F146" i="5"/>
  <c r="R146" i="5"/>
  <c r="V176" i="5"/>
  <c r="G176" i="5" s="1"/>
  <c r="AB179" i="5"/>
  <c r="AB201" i="5"/>
  <c r="F234" i="5"/>
  <c r="R234" i="5"/>
  <c r="H254" i="5"/>
  <c r="F254" i="5"/>
  <c r="E254" i="5"/>
  <c r="X254" i="5" s="1"/>
  <c r="R254" i="5"/>
  <c r="J254" i="5"/>
  <c r="I254" i="5"/>
  <c r="H286" i="5"/>
  <c r="F286" i="5"/>
  <c r="E286" i="5"/>
  <c r="X286" i="5" s="1"/>
  <c r="R286" i="5"/>
  <c r="J286" i="5"/>
  <c r="I286" i="5"/>
  <c r="AB320" i="5"/>
  <c r="V320" i="5"/>
  <c r="G320" i="5" s="1"/>
  <c r="AB412" i="5"/>
  <c r="AB105" i="5"/>
  <c r="F114" i="5"/>
  <c r="R114" i="5"/>
  <c r="AB137" i="5"/>
  <c r="V144" i="5"/>
  <c r="AB147" i="5"/>
  <c r="AB169" i="5"/>
  <c r="F178" i="5"/>
  <c r="R178" i="5"/>
  <c r="G209" i="5"/>
  <c r="AB240" i="5"/>
  <c r="H270" i="5"/>
  <c r="F270" i="5"/>
  <c r="E270" i="5"/>
  <c r="X270" i="5" s="1"/>
  <c r="R270" i="5"/>
  <c r="J270" i="5"/>
  <c r="I270" i="5"/>
  <c r="R311" i="5"/>
  <c r="H311" i="5"/>
  <c r="I311" i="5"/>
  <c r="F311" i="5"/>
  <c r="E311" i="5"/>
  <c r="J311" i="5"/>
  <c r="R5"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V124" i="5"/>
  <c r="G124" i="5" s="1"/>
  <c r="X125" i="5"/>
  <c r="F126" i="5"/>
  <c r="R126" i="5"/>
  <c r="AB127" i="5"/>
  <c r="AB136" i="5"/>
  <c r="AB149" i="5"/>
  <c r="V156" i="5"/>
  <c r="G156" i="5" s="1"/>
  <c r="X157" i="5"/>
  <c r="F158" i="5"/>
  <c r="R158" i="5"/>
  <c r="AB159" i="5"/>
  <c r="AB168" i="5"/>
  <c r="X178" i="5"/>
  <c r="AB181" i="5"/>
  <c r="V188" i="5"/>
  <c r="G188" i="5" s="1"/>
  <c r="F190" i="5"/>
  <c r="R190" i="5"/>
  <c r="AB191" i="5"/>
  <c r="AB200" i="5"/>
  <c r="F218" i="5"/>
  <c r="R218" i="5"/>
  <c r="AB220" i="5"/>
  <c r="G234" i="5"/>
  <c r="F238" i="5"/>
  <c r="X238" i="5"/>
  <c r="R238" i="5"/>
  <c r="AB244" i="5"/>
  <c r="G254" i="5"/>
  <c r="AB260" i="5"/>
  <c r="G270" i="5"/>
  <c r="AB276" i="5"/>
  <c r="G286" i="5"/>
  <c r="AB292" i="5"/>
  <c r="G311" i="5"/>
  <c r="AB5" i="5"/>
  <c r="F18" i="5"/>
  <c r="G20" i="5"/>
  <c r="AB21" i="5"/>
  <c r="F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AB107" i="5"/>
  <c r="G114" i="5"/>
  <c r="AB116" i="5"/>
  <c r="F125" i="5"/>
  <c r="AB129" i="5"/>
  <c r="V136" i="5"/>
  <c r="G136" i="5" s="1"/>
  <c r="F138" i="5"/>
  <c r="R138" i="5"/>
  <c r="AB139" i="5"/>
  <c r="G146" i="5"/>
  <c r="AB148" i="5"/>
  <c r="F157" i="5"/>
  <c r="AB161" i="5"/>
  <c r="V168" i="5"/>
  <c r="F170" i="5"/>
  <c r="R170" i="5"/>
  <c r="AB171" i="5"/>
  <c r="G178" i="5"/>
  <c r="AB180" i="5"/>
  <c r="AB193" i="5"/>
  <c r="V200" i="5"/>
  <c r="G200" i="5" s="1"/>
  <c r="F202" i="5"/>
  <c r="R202" i="5"/>
  <c r="AB203" i="5"/>
  <c r="AB209" i="5"/>
  <c r="F210" i="5"/>
  <c r="R210" i="5"/>
  <c r="V220" i="5"/>
  <c r="G220" i="5" s="1"/>
  <c r="R221" i="5"/>
  <c r="G221" i="5"/>
  <c r="F242" i="5"/>
  <c r="R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AB151" i="5"/>
  <c r="AB173" i="5"/>
  <c r="V180" i="5"/>
  <c r="G180" i="5" s="1"/>
  <c r="X181" i="5"/>
  <c r="F182" i="5"/>
  <c r="R182" i="5"/>
  <c r="AB183"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F28" i="5"/>
  <c r="F118" i="5"/>
  <c r="R118" i="5"/>
  <c r="X5" i="5"/>
  <c r="G18" i="5"/>
  <c r="F24" i="5"/>
  <c r="G26" i="5"/>
  <c r="F32" i="5"/>
  <c r="G106" i="5"/>
  <c r="F117" i="5"/>
  <c r="AB121" i="5"/>
  <c r="V128" i="5"/>
  <c r="G128" i="5" s="1"/>
  <c r="F130" i="5"/>
  <c r="R130" i="5"/>
  <c r="AB131" i="5"/>
  <c r="G138" i="5"/>
  <c r="F149" i="5"/>
  <c r="AB153" i="5"/>
  <c r="V160" i="5"/>
  <c r="G160" i="5" s="1"/>
  <c r="F162" i="5"/>
  <c r="R162" i="5"/>
  <c r="AB163" i="5"/>
  <c r="G170" i="5"/>
  <c r="F181" i="5"/>
  <c r="AB185" i="5"/>
  <c r="V192" i="5"/>
  <c r="G192" i="5" s="1"/>
  <c r="AB195" i="5"/>
  <c r="G202" i="5"/>
  <c r="R206" i="5"/>
  <c r="X209" i="5"/>
  <c r="G210" i="5"/>
  <c r="V212" i="5"/>
  <c r="R213" i="5"/>
  <c r="G213" i="5"/>
  <c r="F222" i="5"/>
  <c r="X222" i="5"/>
  <c r="R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X117" i="5"/>
  <c r="AB141" i="5"/>
  <c r="F150" i="5"/>
  <c r="R150" i="5"/>
  <c r="AB19"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V108" i="5"/>
  <c r="G108" i="5" s="1"/>
  <c r="X109" i="5"/>
  <c r="F110" i="5"/>
  <c r="R110" i="5"/>
  <c r="AB111" i="5"/>
  <c r="G117" i="5"/>
  <c r="G118" i="5"/>
  <c r="AB120" i="5"/>
  <c r="AB133" i="5"/>
  <c r="V140" i="5"/>
  <c r="G140" i="5" s="1"/>
  <c r="X141" i="5"/>
  <c r="F142" i="5"/>
  <c r="R142" i="5"/>
  <c r="AB143" i="5"/>
  <c r="G149" i="5"/>
  <c r="G150" i="5"/>
  <c r="AB152" i="5"/>
  <c r="AB165" i="5"/>
  <c r="V172" i="5"/>
  <c r="G172" i="5" s="1"/>
  <c r="X173" i="5"/>
  <c r="F174" i="5"/>
  <c r="R174" i="5"/>
  <c r="AB175" i="5"/>
  <c r="G181" i="5"/>
  <c r="G182" i="5"/>
  <c r="AB184" i="5"/>
  <c r="AB197" i="5"/>
  <c r="V204" i="5"/>
  <c r="X205" i="5"/>
  <c r="AB208" i="5"/>
  <c r="F209"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F20" i="5"/>
  <c r="AB31" i="5"/>
  <c r="G5" i="5"/>
  <c r="F22" i="5"/>
  <c r="AB25" i="5"/>
  <c r="G29" i="5"/>
  <c r="AB37" i="5"/>
  <c r="F40" i="5"/>
  <c r="AB45" i="5"/>
  <c r="F48" i="5"/>
  <c r="AB53" i="5"/>
  <c r="AB57" i="5"/>
  <c r="AB61" i="5"/>
  <c r="AB65" i="5"/>
  <c r="AB69" i="5"/>
  <c r="AB73" i="5"/>
  <c r="F76" i="5"/>
  <c r="AB81" i="5"/>
  <c r="F84" i="5"/>
  <c r="AB89" i="5"/>
  <c r="F92" i="5"/>
  <c r="F96" i="5"/>
  <c r="V100" i="5"/>
  <c r="AB113" i="5"/>
  <c r="R117" i="5"/>
  <c r="V120" i="5"/>
  <c r="G120" i="5" s="1"/>
  <c r="AB123" i="5"/>
  <c r="AB145" i="5"/>
  <c r="R149" i="5"/>
  <c r="V152" i="5"/>
  <c r="X153" i="5"/>
  <c r="F154" i="5"/>
  <c r="R154" i="5"/>
  <c r="AB155" i="5"/>
  <c r="AB177" i="5"/>
  <c r="R181" i="5"/>
  <c r="V184" i="5"/>
  <c r="G184" i="5" s="1"/>
  <c r="X185" i="5"/>
  <c r="F186" i="5"/>
  <c r="R186" i="5"/>
  <c r="AB187" i="5"/>
  <c r="V208" i="5"/>
  <c r="R209" i="5"/>
  <c r="F214" i="5"/>
  <c r="R214" i="5"/>
  <c r="AB216" i="5"/>
  <c r="F226" i="5"/>
  <c r="R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F6" i="5"/>
  <c r="G21" i="5"/>
  <c r="F30" i="5"/>
  <c r="AB33" i="5"/>
  <c r="F36" i="5"/>
  <c r="AB41" i="5"/>
  <c r="F44" i="5"/>
  <c r="AB49" i="5"/>
  <c r="F52" i="5"/>
  <c r="F56" i="5"/>
  <c r="F60" i="5"/>
  <c r="F64" i="5"/>
  <c r="F68"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AB103" i="5"/>
  <c r="G109" i="5"/>
  <c r="G110" i="5"/>
  <c r="AB112" i="5"/>
  <c r="F121" i="5"/>
  <c r="AB125" i="5"/>
  <c r="R129" i="5"/>
  <c r="V132" i="5"/>
  <c r="G132" i="5" s="1"/>
  <c r="X133" i="5"/>
  <c r="F134" i="5"/>
  <c r="R134" i="5"/>
  <c r="AB135" i="5"/>
  <c r="G141" i="5"/>
  <c r="G142" i="5"/>
  <c r="AB144" i="5"/>
  <c r="F153" i="5"/>
  <c r="AB157" i="5"/>
  <c r="R161" i="5"/>
  <c r="V164" i="5"/>
  <c r="F166" i="5"/>
  <c r="R166" i="5"/>
  <c r="AB167" i="5"/>
  <c r="G173" i="5"/>
  <c r="G174" i="5"/>
  <c r="AB176" i="5"/>
  <c r="F185" i="5"/>
  <c r="AB189" i="5"/>
  <c r="R193" i="5"/>
  <c r="V196" i="5"/>
  <c r="X197" i="5"/>
  <c r="F198" i="5"/>
  <c r="R198" i="5"/>
  <c r="AB199" i="5"/>
  <c r="G214" i="5"/>
  <c r="V216" i="5"/>
  <c r="G216" i="5" s="1"/>
  <c r="R217" i="5"/>
  <c r="G217" i="5"/>
  <c r="G226" i="5"/>
  <c r="F230" i="5"/>
  <c r="R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AB225" i="5"/>
  <c r="V228" i="5"/>
  <c r="G228" i="5" s="1"/>
  <c r="AB229" i="5"/>
  <c r="V232" i="5"/>
  <c r="AB233" i="5"/>
  <c r="V236" i="5"/>
  <c r="G236" i="5" s="1"/>
  <c r="AB237" i="5"/>
  <c r="V240" i="5"/>
  <c r="G240" i="5" s="1"/>
  <c r="AB241" i="5"/>
  <c r="V244" i="5"/>
  <c r="G244" i="5" s="1"/>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2" i="5"/>
  <c r="S491" i="5"/>
  <c r="T373" i="5"/>
  <c r="T337" i="5"/>
  <c r="T437" i="5"/>
  <c r="T349" i="5"/>
  <c r="T433" i="5"/>
  <c r="S511" i="5"/>
  <c r="T384" i="5"/>
  <c r="T250"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327" i="5"/>
  <c r="S361" i="5"/>
  <c r="T313" i="5"/>
  <c r="T332" i="5"/>
  <c r="T471" i="5"/>
  <c r="S295" i="5"/>
  <c r="T388" i="5"/>
  <c r="T459" i="5"/>
  <c r="T271" i="5"/>
  <c r="T376" i="5"/>
  <c r="T253" i="5"/>
  <c r="T318" i="5"/>
  <c r="T363" i="5"/>
  <c r="T400" i="5"/>
  <c r="S417" i="5"/>
  <c r="T448" i="5"/>
  <c r="T556" i="5"/>
  <c r="S432" i="5"/>
  <c r="T455" i="5"/>
  <c r="S560" i="5"/>
  <c r="T491" i="5"/>
  <c r="T540" i="5"/>
  <c r="S510" i="5"/>
  <c r="T405" i="5"/>
  <c r="S341" i="5"/>
  <c r="T417" i="5"/>
  <c r="T270" i="5"/>
  <c r="T294" i="5"/>
  <c r="T298" i="5"/>
  <c r="T335" i="5"/>
  <c r="S267" i="5"/>
  <c r="S275" i="5"/>
  <c r="S388" i="5"/>
  <c r="T255" i="5"/>
  <c r="T299" i="5"/>
  <c r="T399" i="5"/>
  <c r="T464" i="5"/>
  <c r="T257" i="5"/>
  <c r="T356" i="5"/>
  <c r="T483" i="5"/>
  <c r="T542" i="5"/>
  <c r="T336" i="5"/>
  <c r="S429" i="5"/>
  <c r="S449" i="5"/>
  <c r="S457" i="5"/>
  <c r="T488" i="5"/>
  <c r="T536" i="5"/>
  <c r="T572" i="5"/>
  <c r="S436" i="5"/>
  <c r="T461" i="5"/>
  <c r="T420" i="5"/>
  <c r="T440" i="5"/>
  <c r="T568" i="5"/>
  <c r="T470" i="5"/>
  <c r="T563" i="5"/>
  <c r="T498" i="5"/>
  <c r="T341" i="5"/>
  <c r="T331" i="5"/>
  <c r="T361" i="5"/>
  <c r="S259" i="5"/>
  <c r="T275" i="5"/>
  <c r="T269" i="5"/>
  <c r="T322" i="5"/>
  <c r="T368" i="5"/>
  <c r="S416" i="5"/>
  <c r="T387" i="5"/>
  <c r="T408" i="5"/>
  <c r="S441" i="5"/>
  <c r="S572" i="5"/>
  <c r="S440" i="5"/>
  <c r="T586" i="5"/>
  <c r="T551" i="5"/>
  <c r="S568" i="5"/>
  <c r="T539" i="5"/>
  <c r="T552" i="5"/>
  <c r="T519" i="5"/>
  <c r="S468" i="5"/>
  <c r="T594" i="5"/>
  <c r="S257" i="5"/>
  <c r="T338" i="5"/>
  <c r="T413" i="5"/>
  <c r="T415" i="5"/>
  <c r="S543" i="5"/>
  <c r="T371" i="5"/>
  <c r="T278" i="5"/>
  <c r="S408" i="5"/>
  <c r="T282" i="5"/>
  <c r="T321" i="5"/>
  <c r="S352" i="5"/>
  <c r="S299" i="5"/>
  <c r="S389" i="5"/>
  <c r="T259" i="5"/>
  <c r="T283" i="5"/>
  <c r="S302"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323" i="5"/>
  <c r="T343" i="5"/>
  <c r="T345" i="5"/>
  <c r="S364" i="5"/>
  <c r="S304" i="5"/>
  <c r="S392" i="5"/>
  <c r="T285" i="5"/>
  <c r="T309" i="5"/>
  <c r="T326" i="5"/>
  <c r="T515" i="5"/>
  <c r="S348" i="5"/>
  <c r="T412" i="5"/>
  <c r="S433" i="5"/>
  <c r="T452" i="5"/>
  <c r="T504" i="5"/>
  <c r="T547" i="5"/>
  <c r="T494" i="5"/>
  <c r="T526" i="5"/>
  <c r="S444" i="5"/>
  <c r="T543" i="5"/>
  <c r="T444" i="5"/>
  <c r="T528" i="5"/>
  <c r="T492" i="5"/>
  <c r="T508" i="5"/>
  <c r="T530" i="5"/>
  <c r="S584" i="5"/>
  <c r="T453" i="5"/>
  <c r="T421" i="5"/>
  <c r="T425" i="5"/>
  <c r="T385" i="5"/>
  <c r="T246" i="5"/>
  <c r="T307" i="5"/>
  <c r="T531" i="5"/>
  <c r="S271" i="5"/>
  <c r="S291" i="5"/>
  <c r="T263" i="5"/>
  <c r="T289" i="5"/>
  <c r="T369" i="5"/>
  <c r="S396" i="5"/>
  <c r="T310" i="5"/>
  <c r="S400" i="5"/>
  <c r="S405" i="5"/>
  <c r="T353" i="5"/>
  <c r="S413" i="5"/>
  <c r="T424" i="5"/>
  <c r="S453" i="5"/>
  <c r="T559" i="5"/>
  <c r="S420" i="5"/>
  <c r="S448" i="5"/>
  <c r="T495" i="5"/>
  <c r="T511" i="5"/>
  <c r="T527" i="5"/>
  <c r="T546" i="5"/>
  <c r="T507" i="5"/>
  <c r="T476" i="5"/>
  <c r="T570" i="5"/>
  <c r="T558" i="5"/>
  <c r="T389" i="5"/>
  <c r="T397" i="5"/>
  <c r="T449" i="5"/>
  <c r="T254" i="5"/>
  <c r="T274" i="5"/>
  <c r="T351" i="5"/>
  <c r="T329" i="5"/>
  <c r="S385" i="5"/>
  <c r="S255" i="5"/>
  <c r="S263" i="5"/>
  <c r="S283" i="5"/>
  <c r="T333" i="5"/>
  <c r="T247" i="5"/>
  <c r="T267" i="5"/>
  <c r="T291" i="5"/>
  <c r="S393" i="5"/>
  <c r="T478" i="5"/>
  <c r="T301" i="5"/>
  <c r="T348" i="5"/>
  <c r="T360" i="5"/>
  <c r="S380" i="5"/>
  <c r="T372" i="5"/>
  <c r="T392" i="5"/>
  <c r="S425" i="5"/>
  <c r="T436" i="5"/>
  <c r="S445" i="5"/>
  <c r="T550" i="5"/>
  <c r="S424" i="5"/>
  <c r="T451" i="5"/>
  <c r="T479" i="5"/>
  <c r="T548" i="5"/>
  <c r="S470" i="5"/>
  <c r="S461" i="5"/>
  <c r="T512" i="5"/>
  <c r="T582" i="5"/>
  <c r="S494" i="5"/>
  <c r="T319" i="5"/>
  <c r="T468" i="5"/>
  <c r="T261" i="5"/>
  <c r="T499" i="5"/>
  <c r="T428" i="5"/>
  <c r="T380" i="5"/>
  <c r="T456" i="5"/>
  <c r="T357" i="5"/>
  <c r="T311" i="5"/>
  <c r="T258" i="5"/>
  <c r="T352" i="5"/>
  <c r="T416" i="5"/>
  <c r="T432" i="5"/>
  <c r="T484" i="5"/>
  <c r="T266" i="5"/>
  <c r="T344" i="5"/>
  <c r="T404" i="5"/>
  <c r="C11" i="6" l="1"/>
  <c r="C8" i="6"/>
  <c r="R102" i="5"/>
  <c r="C10" i="6"/>
  <c r="C9" i="6"/>
  <c r="C4" i="6"/>
  <c r="I600" i="5"/>
  <c r="E379" i="5"/>
  <c r="X379" i="5" s="1"/>
  <c r="J443" i="5"/>
  <c r="H443" i="5"/>
  <c r="I314" i="5"/>
  <c r="H1633" i="5"/>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R1329" i="5"/>
  <c r="E574" i="5"/>
  <c r="H562" i="5"/>
  <c r="F463" i="5"/>
  <c r="G1204" i="5"/>
  <c r="R1204" i="5"/>
  <c r="H574" i="5"/>
  <c r="I562" i="5"/>
  <c r="G262" i="5"/>
  <c r="F1665" i="5"/>
  <c r="J1204" i="5"/>
  <c r="G766" i="5"/>
  <c r="I574" i="5"/>
  <c r="J562" i="5"/>
  <c r="J297" i="5"/>
  <c r="I2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115" i="5"/>
  <c r="E265" i="5"/>
  <c r="F265" i="5"/>
  <c r="F672"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J314" i="5"/>
  <c r="T314" i="5" s="1"/>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I306" i="5"/>
  <c r="F189" i="5"/>
  <c r="R207"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F71" i="5"/>
  <c r="R71" i="5"/>
  <c r="F2381" i="5"/>
  <c r="E2405" i="5"/>
  <c r="X2405" i="5" s="1"/>
  <c r="J2386" i="5"/>
  <c r="R2180" i="5"/>
  <c r="H2160" i="5"/>
  <c r="F2100" i="5"/>
  <c r="R1952" i="5"/>
  <c r="H2035" i="5"/>
  <c r="F1867" i="5"/>
  <c r="R1786" i="5"/>
  <c r="R1131" i="5"/>
  <c r="R1304" i="5"/>
  <c r="I971" i="5"/>
  <c r="F1074" i="5"/>
  <c r="F971" i="5"/>
  <c r="I817" i="5"/>
  <c r="I330" i="5"/>
  <c r="J379" i="5"/>
  <c r="I303" i="5"/>
  <c r="G574" i="5"/>
  <c r="G189" i="5"/>
  <c r="G1665" i="5"/>
  <c r="R2386" i="5"/>
  <c r="I2160" i="5"/>
  <c r="E1952" i="5"/>
  <c r="X1952" i="5" s="1"/>
  <c r="I2035" i="5"/>
  <c r="E1786" i="5"/>
  <c r="X1786" i="5" s="1"/>
  <c r="I1471" i="5"/>
  <c r="R1471" i="5"/>
  <c r="R971" i="5"/>
  <c r="H1145" i="5"/>
  <c r="H971" i="5"/>
  <c r="J817" i="5"/>
  <c r="R817" i="5"/>
  <c r="F303" i="5"/>
  <c r="G971" i="5"/>
  <c r="F20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H314"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R239" i="5"/>
  <c r="F239" i="5"/>
  <c r="G103" i="5"/>
  <c r="I391" i="5"/>
  <c r="F391" i="5"/>
  <c r="G191" i="5"/>
  <c r="F915" i="5"/>
  <c r="H712" i="5"/>
  <c r="H427" i="5"/>
  <c r="I2213" i="5"/>
  <c r="R2213" i="5"/>
  <c r="J2213" i="5"/>
  <c r="H2213" i="5"/>
  <c r="F2213" i="5"/>
  <c r="J2381" i="5"/>
  <c r="I2381" i="5"/>
  <c r="E2381" i="5"/>
  <c r="X2381" i="5" s="1"/>
  <c r="J1309" i="5"/>
  <c r="I1309" i="5"/>
  <c r="J1325" i="5"/>
  <c r="F1325" i="5"/>
  <c r="R43" i="5"/>
  <c r="R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R163" i="5"/>
  <c r="F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R151" i="5"/>
  <c r="F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R211" i="5"/>
  <c r="F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F31" i="6" s="1"/>
  <c r="X18" i="5"/>
  <c r="B52" i="6"/>
  <c r="G52" i="6" s="1"/>
  <c r="B37" i="6"/>
  <c r="G37" i="6" s="1"/>
  <c r="B42" i="6"/>
  <c r="G42" i="6" s="1"/>
  <c r="B40" i="6"/>
  <c r="G40" i="6" s="1"/>
  <c r="B50" i="6"/>
  <c r="G50" i="6" s="1"/>
  <c r="B25" i="6"/>
  <c r="G25" i="6" s="1"/>
  <c r="B35" i="6"/>
  <c r="G35" i="6" s="1"/>
  <c r="X6" i="5"/>
  <c r="B39" i="6"/>
  <c r="G39" i="6" s="1"/>
  <c r="F24" i="6"/>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H22" i="6" s="1"/>
  <c r="K68" i="6" s="1"/>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F244" i="5"/>
  <c r="R244" i="5"/>
  <c r="F236" i="5"/>
  <c r="R236" i="5"/>
  <c r="F228" i="5"/>
  <c r="R228" i="5"/>
  <c r="F132" i="5"/>
  <c r="R132" i="5"/>
  <c r="R402" i="5"/>
  <c r="J402" i="5"/>
  <c r="I402" i="5"/>
  <c r="H402" i="5"/>
  <c r="F402" i="5"/>
  <c r="E402" i="5"/>
  <c r="G355" i="5"/>
  <c r="R204" i="5"/>
  <c r="F116" i="5"/>
  <c r="R116" i="5"/>
  <c r="F104" i="5"/>
  <c r="R104"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F184" i="5"/>
  <c r="R184" i="5"/>
  <c r="E328" i="5"/>
  <c r="J328" i="5"/>
  <c r="F328" i="5"/>
  <c r="R328" i="5"/>
  <c r="I328" i="5"/>
  <c r="H328" i="5"/>
  <c r="F220" i="5"/>
  <c r="R220" i="5"/>
  <c r="F176"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F216" i="5"/>
  <c r="R216" i="5"/>
  <c r="F120" i="5"/>
  <c r="R120" i="5"/>
  <c r="F140" i="5"/>
  <c r="R140" i="5"/>
  <c r="F192" i="5"/>
  <c r="R192" i="5"/>
  <c r="A25" i="6"/>
  <c r="B57" i="4"/>
  <c r="A40" i="6" s="1"/>
  <c r="B51" i="4"/>
  <c r="A35" i="6" s="1"/>
  <c r="B69" i="4"/>
  <c r="A50" i="6" s="1"/>
  <c r="B63" i="4"/>
  <c r="A45" i="6" s="1"/>
  <c r="F67" i="6"/>
  <c r="F36" i="6"/>
  <c r="H36" i="6" s="1"/>
  <c r="D36" i="6" s="1"/>
  <c r="J2479" i="5"/>
  <c r="I2479" i="5"/>
  <c r="E2479" i="5"/>
  <c r="X2479" i="5" s="1"/>
  <c r="R2479" i="5"/>
  <c r="H2479" i="5"/>
  <c r="G2479" i="5"/>
  <c r="F2479" i="5"/>
  <c r="F45" i="6"/>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F240" i="5"/>
  <c r="R240" i="5"/>
  <c r="F232" i="5"/>
  <c r="R232" i="5"/>
  <c r="F224" i="5"/>
  <c r="R224" i="5"/>
  <c r="R382" i="5"/>
  <c r="I382" i="5"/>
  <c r="H382" i="5"/>
  <c r="F382" i="5"/>
  <c r="J382" i="5"/>
  <c r="T382" i="5" s="1"/>
  <c r="G382" i="5"/>
  <c r="E382" i="5"/>
  <c r="E359" i="5"/>
  <c r="R359" i="5"/>
  <c r="J359" i="5"/>
  <c r="H359" i="5"/>
  <c r="F359" i="5"/>
  <c r="I359" i="5"/>
  <c r="F196" i="5"/>
  <c r="R196" i="5"/>
  <c r="F208" i="5"/>
  <c r="R208" i="5"/>
  <c r="F144"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F124" i="5"/>
  <c r="R124" i="5"/>
  <c r="A27" i="6"/>
  <c r="B53" i="4"/>
  <c r="A37" i="6" s="1"/>
  <c r="B65" i="4"/>
  <c r="A47" i="6" s="1"/>
  <c r="B71" i="4"/>
  <c r="A52" i="6" s="1"/>
  <c r="B59" i="4"/>
  <c r="A42" i="6" s="1"/>
  <c r="H2463" i="5"/>
  <c r="I2463" i="5"/>
  <c r="F2463" i="5"/>
  <c r="E2463" i="5"/>
  <c r="X2463" i="5" s="1"/>
  <c r="R2463" i="5"/>
  <c r="J2463" i="5"/>
  <c r="F42" i="6"/>
  <c r="F68" i="6"/>
  <c r="F32" i="6"/>
  <c r="F52" i="6"/>
  <c r="H52" i="6" s="1"/>
  <c r="D52" i="6" s="1"/>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F172" i="5"/>
  <c r="R172" i="5"/>
  <c r="F160" i="5"/>
  <c r="R160" i="5"/>
  <c r="F180" i="5"/>
  <c r="R180" i="5"/>
  <c r="F200" i="5"/>
  <c r="R200" i="5"/>
  <c r="F156" i="5"/>
  <c r="R156" i="5"/>
  <c r="G144" i="5"/>
  <c r="E308" i="5"/>
  <c r="J308" i="5"/>
  <c r="R308" i="5"/>
  <c r="H308" i="5"/>
  <c r="G308" i="5"/>
  <c r="F308" i="5"/>
  <c r="I308" i="5"/>
  <c r="F100" i="5"/>
  <c r="R100" i="5"/>
  <c r="G100" i="5"/>
  <c r="E312" i="5"/>
  <c r="J312" i="5"/>
  <c r="F312" i="5"/>
  <c r="R312" i="5"/>
  <c r="I312" i="5"/>
  <c r="H312" i="5"/>
  <c r="F188" i="5"/>
  <c r="R188" i="5"/>
  <c r="C16"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F148"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F164" i="5"/>
  <c r="R164" i="5"/>
  <c r="E339" i="5"/>
  <c r="R339" i="5"/>
  <c r="H339" i="5"/>
  <c r="F339" i="5"/>
  <c r="J339" i="5"/>
  <c r="I339" i="5"/>
  <c r="F152" i="5"/>
  <c r="R152" i="5"/>
  <c r="F212" i="5"/>
  <c r="R212" i="5"/>
  <c r="F168" i="5"/>
  <c r="R168" i="5"/>
  <c r="A16" i="6"/>
  <c r="B34" i="4"/>
  <c r="A21" i="6" s="1"/>
  <c r="F44" i="6"/>
  <c r="H44" i="6" s="1"/>
  <c r="D44" i="6" s="1"/>
  <c r="F34" i="6"/>
  <c r="F39" i="6"/>
  <c r="F65" i="6"/>
  <c r="F49" i="6"/>
  <c r="F29"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F108" i="5"/>
  <c r="R108" i="5"/>
  <c r="G212" i="5"/>
  <c r="F128" i="5"/>
  <c r="R128" i="5"/>
  <c r="G168" i="5"/>
  <c r="F136" i="5"/>
  <c r="R136" i="5"/>
  <c r="E320" i="5"/>
  <c r="J320" i="5"/>
  <c r="F320" i="5"/>
  <c r="R320" i="5"/>
  <c r="I320" i="5"/>
  <c r="H320" i="5"/>
  <c r="F112" i="5"/>
  <c r="R112" i="5"/>
  <c r="S566" i="5"/>
  <c r="S412" i="5"/>
  <c r="S363" i="5"/>
  <c r="S542" i="5"/>
  <c r="S360" i="5"/>
  <c r="S482" i="5"/>
  <c r="S546" i="5"/>
  <c r="S353" i="5"/>
  <c r="S563" i="5"/>
  <c r="S459" i="5"/>
  <c r="S278" i="5"/>
  <c r="S327" i="5"/>
  <c r="S311" i="5"/>
  <c r="S373" i="5"/>
  <c r="S499" i="5"/>
  <c r="S455" i="5"/>
  <c r="S495" i="5"/>
  <c r="T574" i="5"/>
  <c r="T403" i="5"/>
  <c r="T580" i="5"/>
  <c r="T435" i="5"/>
  <c r="T431" i="5"/>
  <c r="T529" i="5"/>
  <c r="T469" i="5"/>
  <c r="T537" i="5"/>
  <c r="T518" i="5"/>
  <c r="T410" i="5"/>
  <c r="T575" i="5"/>
  <c r="T475" i="5"/>
  <c r="T525" i="5"/>
  <c r="T406" i="5"/>
  <c r="T339" i="5"/>
  <c r="T350" i="5"/>
  <c r="T569" i="5"/>
  <c r="S508" i="5"/>
  <c r="S384" i="5"/>
  <c r="S523" i="5"/>
  <c r="S332" i="5"/>
  <c r="S535" i="5"/>
  <c r="S476" i="5"/>
  <c r="S336" i="5"/>
  <c r="S329" i="5"/>
  <c r="S371" i="5"/>
  <c r="S351" i="5"/>
  <c r="S286" i="5"/>
  <c r="S270" i="5"/>
  <c r="T463" i="5"/>
  <c r="T562" i="5"/>
  <c r="T592" i="5"/>
  <c r="T306" i="5"/>
  <c r="T423" i="5"/>
  <c r="T279" i="5"/>
  <c r="T287" i="5"/>
  <c r="T588" i="5"/>
  <c r="T567" i="5"/>
  <c r="T486" i="5"/>
  <c r="T324" i="5"/>
  <c r="T276" i="5"/>
  <c r="T398" i="5"/>
  <c r="T502" i="5"/>
  <c r="T296" i="5"/>
  <c r="T264" i="5"/>
  <c r="T501" i="5"/>
  <c r="T460" i="5"/>
  <c r="T553" i="5"/>
  <c r="T414" i="5"/>
  <c r="S492" i="5"/>
  <c r="S322" i="5"/>
  <c r="S456" i="5"/>
  <c r="S376" i="5"/>
  <c r="S504" i="5"/>
  <c r="S323" i="5"/>
  <c r="S483" i="5"/>
  <c r="S488" i="5"/>
  <c r="S590" i="5"/>
  <c r="S368" i="5"/>
  <c r="S530" i="5"/>
  <c r="S480" i="5"/>
  <c r="S290" i="5"/>
  <c r="S531" i="5"/>
  <c r="S399" i="5"/>
  <c r="S250" i="5"/>
  <c r="S345" i="5"/>
  <c r="S321" i="5"/>
  <c r="T297" i="5"/>
  <c r="T447" i="5"/>
  <c r="T439" i="5"/>
  <c r="T281" i="5"/>
  <c r="T303" i="5"/>
  <c r="T379" i="5"/>
  <c r="T290" i="5"/>
  <c r="T402" i="5"/>
  <c r="T442" i="5"/>
  <c r="T565" i="5"/>
  <c r="T549" i="5"/>
  <c r="T426" i="5"/>
  <c r="T358" i="5"/>
  <c r="T422" i="5"/>
  <c r="S528" i="5"/>
  <c r="S516" i="5"/>
  <c r="S594" i="5"/>
  <c r="S507" i="5"/>
  <c r="S333" i="5"/>
  <c r="S451" i="5"/>
  <c r="S335" i="5"/>
  <c r="S317" i="5"/>
  <c r="T578" i="5"/>
  <c r="T395" i="5"/>
  <c r="T411" i="5"/>
  <c r="T496" i="5"/>
  <c r="T583" i="5"/>
  <c r="T467" i="5"/>
  <c r="T521" i="5"/>
  <c r="T284" i="5"/>
  <c r="T252" i="5"/>
  <c r="T362" i="5"/>
  <c r="T493" i="5"/>
  <c r="T366" i="5"/>
  <c r="T272" i="5"/>
  <c r="T462" i="5"/>
  <c r="T465" i="5"/>
  <c r="T561" i="5"/>
  <c r="T434" i="5"/>
  <c r="T370" i="5"/>
  <c r="T505" i="5"/>
  <c r="T450" i="5"/>
  <c r="T485" i="5"/>
  <c r="T430" i="5"/>
  <c r="T571" i="5"/>
  <c r="T438" i="5"/>
  <c r="T312" i="5"/>
  <c r="T481" i="5"/>
  <c r="S582" i="5"/>
  <c r="S500" i="5"/>
  <c r="S347" i="5"/>
  <c r="S512" i="5"/>
  <c r="S503" i="5"/>
  <c r="S478" i="5"/>
  <c r="S326" i="5"/>
  <c r="S514" i="5"/>
  <c r="S558" i="5"/>
  <c r="S387" i="5"/>
  <c r="S559" i="5"/>
  <c r="S487" i="5"/>
  <c r="S551" i="5"/>
  <c r="S294" i="5"/>
  <c r="S519" i="5"/>
  <c r="S253" i="5"/>
  <c r="S258" i="5"/>
  <c r="S319" i="5"/>
  <c r="S249" i="5"/>
  <c r="T265" i="5"/>
  <c r="T293" i="5"/>
  <c r="T608" i="5"/>
  <c r="T365" i="5"/>
  <c r="T466" i="5"/>
  <c r="T378" i="5"/>
  <c r="T355" i="5"/>
  <c r="T490" i="5"/>
  <c r="T579" i="5"/>
  <c r="T609" i="5"/>
  <c r="T316" i="5"/>
  <c r="T308" i="5"/>
  <c r="T458" i="5"/>
  <c r="T589" i="5"/>
  <c r="T474" i="5"/>
  <c r="T418" i="5"/>
  <c r="S547" i="5"/>
  <c r="S273" i="5"/>
  <c r="S544" i="5"/>
  <c r="S526" i="5"/>
  <c r="S318" i="5"/>
  <c r="S379" i="5"/>
  <c r="S331" i="5"/>
  <c r="S282" i="5"/>
  <c r="S274" i="5"/>
  <c r="S285" i="5"/>
  <c r="T419" i="5"/>
  <c r="T277" i="5"/>
  <c r="T330" i="5"/>
  <c r="T596" i="5"/>
  <c r="T472" i="5"/>
  <c r="T509" i="5"/>
  <c r="T394" i="5"/>
  <c r="T292" i="5"/>
  <c r="T260" i="5"/>
  <c r="T577" i="5"/>
  <c r="T534" i="5"/>
  <c r="T506" i="5"/>
  <c r="T328" i="5"/>
  <c r="T473" i="5"/>
  <c r="T517" i="5"/>
  <c r="T585" i="5"/>
  <c r="T346" i="5"/>
  <c r="T386" i="5"/>
  <c r="T367" i="5"/>
  <c r="T280" i="5"/>
  <c r="T248" i="5"/>
  <c r="T489" i="5"/>
  <c r="T554" i="5"/>
  <c r="T446" i="5"/>
  <c r="S266" i="5"/>
  <c r="S540" i="5"/>
  <c r="S520" i="5"/>
  <c r="S550" i="5"/>
  <c r="S338" i="5"/>
  <c r="S536" i="5"/>
  <c r="S310" i="5"/>
  <c r="S498" i="5"/>
  <c r="S484" i="5"/>
  <c r="S471" i="5"/>
  <c r="S298" i="5"/>
  <c r="S515" i="5"/>
  <c r="S289" i="5"/>
  <c r="S313" i="5"/>
  <c r="S307" i="5"/>
  <c r="T305" i="5"/>
  <c r="T595" i="5"/>
  <c r="T591" i="5"/>
  <c r="T522" i="5"/>
  <c r="T477" i="5"/>
  <c r="T342" i="5"/>
  <c r="T359" i="5"/>
  <c r="T557" i="5"/>
  <c r="T581" i="5"/>
  <c r="T497" i="5"/>
  <c r="T587" i="5"/>
  <c r="T454" i="5"/>
  <c r="T593" i="5"/>
  <c r="S337" i="5"/>
  <c r="S555" i="5"/>
  <c r="S570" i="5"/>
  <c r="S301" i="5"/>
  <c r="S246" i="5"/>
  <c r="S254" i="5"/>
  <c r="S325" i="5"/>
  <c r="S527" i="5"/>
  <c r="S369" i="5"/>
  <c r="S381" i="5"/>
  <c r="S309" i="5"/>
  <c r="T391" i="5"/>
  <c r="T407" i="5"/>
  <c r="T427" i="5"/>
  <c r="T576" i="5"/>
  <c r="T251" i="5"/>
  <c r="T334" i="5"/>
  <c r="T524" i="5"/>
  <c r="T541" i="5"/>
  <c r="T340" i="5"/>
  <c r="T374" i="5"/>
  <c r="T300" i="5"/>
  <c r="T268" i="5"/>
  <c r="T538" i="5"/>
  <c r="T545" i="5"/>
  <c r="T390" i="5"/>
  <c r="T288" i="5"/>
  <c r="T256" i="5"/>
  <c r="T375" i="5"/>
  <c r="T513" i="5"/>
  <c r="T354" i="5"/>
  <c r="T573" i="5"/>
  <c r="T320" i="5"/>
  <c r="T151" i="5"/>
  <c r="F54" i="6" l="1"/>
  <c r="F41" i="6"/>
  <c r="H41" i="6" s="1"/>
  <c r="D41" i="6" s="1"/>
  <c r="H29" i="6"/>
  <c r="H42" i="6"/>
  <c r="D42" i="6" s="1"/>
  <c r="F46" i="6"/>
  <c r="F51" i="6"/>
  <c r="H51" i="6" s="1"/>
  <c r="D51" i="6" s="1"/>
  <c r="H37" i="6"/>
  <c r="D37" i="6" s="1"/>
  <c r="H45" i="6"/>
  <c r="D45" i="6"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D26" i="6" s="1"/>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51" i="6"/>
  <c r="D19" i="6"/>
  <c r="C19" i="6"/>
  <c r="K65" i="6"/>
  <c r="D24" i="6"/>
  <c r="X100" i="5"/>
  <c r="D27" i="6"/>
  <c r="C27" i="6"/>
  <c r="C36"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524" i="5"/>
  <c r="S320" i="5"/>
  <c r="S406" i="5"/>
  <c r="S359" i="5"/>
  <c r="S506" i="5"/>
  <c r="S251" i="5"/>
  <c r="S316" i="5"/>
  <c r="S390" i="5"/>
  <c r="S305" i="5"/>
  <c r="S395" i="5"/>
  <c r="S609" i="5"/>
  <c r="S575" i="5"/>
  <c r="S497" i="5"/>
  <c r="S434" i="5"/>
  <c r="S474" i="5"/>
  <c r="S585" i="5"/>
  <c r="S583" i="5"/>
  <c r="S588" i="5"/>
  <c r="S489" i="5"/>
  <c r="S593" i="5"/>
  <c r="T147" i="5"/>
  <c r="T88" i="5"/>
  <c r="T222" i="5"/>
  <c r="T80" i="5"/>
  <c r="S18" i="5"/>
  <c r="S49" i="5"/>
  <c r="T32" i="5"/>
  <c r="S27" i="5"/>
  <c r="S123" i="5"/>
  <c r="T177" i="5"/>
  <c r="T193" i="5"/>
  <c r="T131" i="5"/>
  <c r="T233" i="5"/>
  <c r="T84" i="5"/>
  <c r="T20" i="5"/>
  <c r="T29" i="5"/>
  <c r="T137" i="5"/>
  <c r="S53" i="5"/>
  <c r="T52" i="5"/>
  <c r="T67" i="5"/>
  <c r="S31" i="5"/>
  <c r="T70" i="5"/>
  <c r="T205" i="5"/>
  <c r="T226" i="5"/>
  <c r="T186" i="5"/>
  <c r="T79" i="5"/>
  <c r="T49" i="5"/>
  <c r="S131" i="5"/>
  <c r="T203" i="5"/>
  <c r="T185" i="5"/>
  <c r="T229" i="5"/>
  <c r="T179" i="5"/>
  <c r="S203" i="5"/>
  <c r="T81" i="5"/>
  <c r="T141" i="5"/>
  <c r="T58" i="5"/>
  <c r="S111" i="5"/>
  <c r="T6" i="5"/>
  <c r="S67" i="5"/>
  <c r="T56" i="5"/>
  <c r="T230" i="5"/>
  <c r="T113" i="5"/>
  <c r="S197" i="5"/>
  <c r="T119" i="5"/>
  <c r="T169" i="5"/>
  <c r="T138" i="5"/>
  <c r="T149" i="5"/>
  <c r="S147" i="5"/>
  <c r="T21" i="5"/>
  <c r="S150" i="5"/>
  <c r="S65" i="5"/>
  <c r="S187" i="5"/>
  <c r="T85" i="5"/>
  <c r="T97" i="5"/>
  <c r="T195" i="5"/>
  <c r="S61" i="5"/>
  <c r="T122" i="5"/>
  <c r="S159" i="5"/>
  <c r="S235" i="5"/>
  <c r="S95" i="5"/>
  <c r="S59" i="5"/>
  <c r="T213" i="5"/>
  <c r="S177" i="5"/>
  <c r="T125" i="5"/>
  <c r="T53" i="5"/>
  <c r="T166" i="5"/>
  <c r="T219" i="5"/>
  <c r="T55" i="5"/>
  <c r="T223" i="5"/>
  <c r="S195" i="5"/>
  <c r="S161" i="5"/>
  <c r="T197" i="5"/>
  <c r="S81" i="5"/>
  <c r="T109" i="5"/>
  <c r="T130" i="5"/>
  <c r="S68" i="5"/>
  <c r="T140" i="5"/>
  <c r="S62" i="5"/>
  <c r="S149" i="5"/>
  <c r="T196" i="5"/>
  <c r="T103" i="5"/>
  <c r="S63" i="5"/>
  <c r="T152" i="5"/>
  <c r="S165" i="5"/>
  <c r="S78" i="5"/>
  <c r="S107" i="5"/>
  <c r="S48" i="5"/>
  <c r="T175" i="5"/>
  <c r="S46" i="5"/>
  <c r="S162" i="5"/>
  <c r="S218" i="5"/>
  <c r="S214" i="5"/>
  <c r="T160" i="5"/>
  <c r="S50" i="5"/>
  <c r="T240" i="5"/>
  <c r="T180" i="5"/>
  <c r="T215" i="5"/>
  <c r="S66" i="5"/>
  <c r="S76" i="5"/>
  <c r="S101" i="5"/>
  <c r="S242" i="5"/>
  <c r="S182" i="5"/>
  <c r="S134" i="5"/>
  <c r="S178" i="5"/>
  <c r="T239" i="5"/>
  <c r="S202" i="5"/>
  <c r="S34" i="5"/>
  <c r="T168" i="5"/>
  <c r="S166" i="5"/>
  <c r="S70" i="5"/>
  <c r="T132" i="5"/>
  <c r="S24" i="5"/>
  <c r="T212" i="5"/>
  <c r="T78" i="5"/>
  <c r="T118" i="5"/>
  <c r="S137" i="5"/>
  <c r="S42" i="5"/>
  <c r="S55" i="5"/>
  <c r="S171" i="5"/>
  <c r="T72" i="5"/>
  <c r="T227" i="5"/>
  <c r="S119" i="5"/>
  <c r="T26" i="5"/>
  <c r="T114" i="5"/>
  <c r="T202" i="5"/>
  <c r="T231" i="5"/>
  <c r="T75" i="5"/>
  <c r="S41" i="5"/>
  <c r="T45" i="5"/>
  <c r="S225" i="5"/>
  <c r="T42" i="5"/>
  <c r="T82" i="5"/>
  <c r="T170" i="5"/>
  <c r="T105" i="5"/>
  <c r="S51" i="5"/>
  <c r="T54" i="5"/>
  <c r="S33" i="5"/>
  <c r="T146" i="5"/>
  <c r="T181" i="5"/>
  <c r="T19" i="5"/>
  <c r="T143" i="5"/>
  <c r="S85" i="5"/>
  <c r="T214" i="5"/>
  <c r="S219" i="5"/>
  <c r="S155" i="5"/>
  <c r="S113" i="5"/>
  <c r="S129" i="5"/>
  <c r="T145" i="5"/>
  <c r="T107" i="5"/>
  <c r="T217" i="5"/>
  <c r="T134" i="5"/>
  <c r="S93" i="5"/>
  <c r="S183" i="5"/>
  <c r="S169" i="5"/>
  <c r="S210" i="5"/>
  <c r="T23" i="5"/>
  <c r="T209" i="5"/>
  <c r="T38" i="5"/>
  <c r="T238" i="5"/>
  <c r="T173" i="5"/>
  <c r="S106" i="5"/>
  <c r="T74" i="5"/>
  <c r="T34" i="5"/>
  <c r="T93" i="5"/>
  <c r="T139" i="5"/>
  <c r="T25" i="5"/>
  <c r="T35" i="5"/>
  <c r="T199" i="5"/>
  <c r="T5" i="5"/>
  <c r="T165" i="5"/>
  <c r="T99" i="5"/>
  <c r="S47" i="5"/>
  <c r="S73" i="5"/>
  <c r="T60" i="5"/>
  <c r="T234" i="5"/>
  <c r="T101" i="5"/>
  <c r="S245" i="5"/>
  <c r="S97" i="5"/>
  <c r="T225" i="5"/>
  <c r="T158" i="5"/>
  <c r="S26" i="5"/>
  <c r="T161" i="5"/>
  <c r="T237" i="5"/>
  <c r="T36" i="5"/>
  <c r="T22" i="5"/>
  <c r="S190" i="5"/>
  <c r="T44" i="5"/>
  <c r="S19" i="5"/>
  <c r="T76" i="5"/>
  <c r="S83" i="5"/>
  <c r="T47" i="5"/>
  <c r="T155" i="5"/>
  <c r="T59" i="5"/>
  <c r="T64" i="5"/>
  <c r="T86" i="5"/>
  <c r="S35" i="5"/>
  <c r="T33" i="5"/>
  <c r="S25" i="5"/>
  <c r="T18" i="5"/>
  <c r="T40" i="5"/>
  <c r="S45" i="5"/>
  <c r="T39" i="5"/>
  <c r="T182" i="5"/>
  <c r="S105" i="5"/>
  <c r="T61" i="5"/>
  <c r="T162" i="5"/>
  <c r="S74" i="5"/>
  <c r="T127" i="5"/>
  <c r="T65" i="5"/>
  <c r="T245" i="5"/>
  <c r="T98" i="5"/>
  <c r="T133" i="5"/>
  <c r="T31" i="5"/>
  <c r="T123" i="5"/>
  <c r="S69" i="5"/>
  <c r="S84" i="5"/>
  <c r="T163" i="5"/>
  <c r="T236" i="5"/>
  <c r="T176" i="5"/>
  <c r="T244" i="5"/>
  <c r="S114" i="5"/>
  <c r="S100" i="5"/>
  <c r="S52" i="5"/>
  <c r="S153" i="5"/>
  <c r="T184" i="5"/>
  <c r="T232" i="5"/>
  <c r="S37" i="5"/>
  <c r="S98" i="5"/>
  <c r="S154" i="5"/>
  <c r="T144" i="5"/>
  <c r="S96" i="5"/>
  <c r="S199" i="5"/>
  <c r="T216" i="5"/>
  <c r="T208" i="5"/>
  <c r="S23" i="5"/>
  <c r="S80" i="5"/>
  <c r="S217" i="5"/>
  <c r="S133" i="5"/>
  <c r="T191" i="5"/>
  <c r="S234" i="5"/>
  <c r="T220" i="5"/>
  <c r="T87" i="5"/>
  <c r="S229" i="5"/>
  <c r="S20" i="5"/>
  <c r="S118" i="5"/>
  <c r="T148" i="5"/>
  <c r="S30" i="5"/>
  <c r="S174" i="5"/>
  <c r="S56" i="5"/>
  <c r="S173" i="5"/>
  <c r="T37" i="5"/>
  <c r="T89" i="5"/>
  <c r="S237" i="5"/>
  <c r="S125" i="5"/>
  <c r="T111" i="5"/>
  <c r="T27" i="5"/>
  <c r="T198" i="5"/>
  <c r="S89" i="5"/>
  <c r="S75" i="5"/>
  <c r="T167" i="5"/>
  <c r="T94" i="5"/>
  <c r="S77" i="5"/>
  <c r="T95" i="5"/>
  <c r="S57" i="5"/>
  <c r="S28" i="5"/>
  <c r="T92" i="5"/>
  <c r="T241" i="5"/>
  <c r="T121" i="5"/>
  <c r="T221" i="5"/>
  <c r="T187" i="5"/>
  <c r="T68" i="5"/>
  <c r="S223" i="5"/>
  <c r="T153" i="5"/>
  <c r="T174" i="5"/>
  <c r="T159" i="5"/>
  <c r="T200" i="5"/>
  <c r="S138" i="5"/>
  <c r="S86" i="5"/>
  <c r="S109" i="5"/>
  <c r="T136" i="5"/>
  <c r="T188" i="5"/>
  <c r="S6" i="5"/>
  <c r="T100" i="5"/>
  <c r="T192" i="5"/>
  <c r="S39" i="5"/>
  <c r="S92" i="5"/>
  <c r="S142" i="5"/>
  <c r="T102" i="5"/>
  <c r="S90" i="5"/>
  <c r="S36" i="5"/>
  <c r="S198" i="5"/>
  <c r="S233" i="5"/>
  <c r="S122" i="5"/>
  <c r="T243" i="5"/>
  <c r="S238" i="5"/>
  <c r="T224" i="5"/>
  <c r="S231" i="5"/>
  <c r="T43" i="5"/>
  <c r="S60" i="5"/>
  <c r="S82" i="5"/>
  <c r="S146" i="5"/>
  <c r="T194" i="5"/>
  <c r="S64" i="5"/>
  <c r="S79" i="5"/>
  <c r="S110" i="5"/>
  <c r="S186" i="5"/>
  <c r="T189" i="5"/>
  <c r="S22" i="5"/>
  <c r="S226" i="5"/>
  <c r="T204" i="5"/>
  <c r="T117" i="5"/>
  <c r="T41" i="5"/>
  <c r="T62" i="5"/>
  <c r="T57" i="5"/>
  <c r="T242" i="5"/>
  <c r="T66" i="5"/>
  <c r="S193" i="5"/>
  <c r="S175" i="5"/>
  <c r="T46" i="5"/>
  <c r="T190" i="5"/>
  <c r="T63" i="5"/>
  <c r="T142" i="5"/>
  <c r="T90" i="5"/>
  <c r="T77" i="5"/>
  <c r="T69" i="5"/>
  <c r="T235" i="5"/>
  <c r="S179" i="5"/>
  <c r="S99" i="5"/>
  <c r="S94" i="5"/>
  <c r="T218" i="5"/>
  <c r="S127" i="5"/>
  <c r="T171" i="5"/>
  <c r="T154" i="5"/>
  <c r="T48" i="5"/>
  <c r="T129" i="5"/>
  <c r="S38" i="5"/>
  <c r="S230" i="5"/>
  <c r="T211" i="5"/>
  <c r="T164" i="5"/>
  <c r="S139" i="5"/>
  <c r="S72" i="5"/>
  <c r="T91" i="5"/>
  <c r="T112" i="5"/>
  <c r="T71" i="5"/>
  <c r="S126" i="5"/>
  <c r="S21" i="5"/>
  <c r="T201" i="5"/>
  <c r="S170" i="5"/>
  <c r="S88" i="5"/>
  <c r="S181" i="5"/>
  <c r="S44" i="5"/>
  <c r="T116" i="5"/>
  <c r="S222" i="5"/>
  <c r="S54" i="5"/>
  <c r="S241" i="5"/>
  <c r="T124" i="5"/>
  <c r="T178" i="5"/>
  <c r="T126" i="5"/>
  <c r="S157" i="5"/>
  <c r="T157" i="5"/>
  <c r="S213" i="5"/>
  <c r="T51" i="5"/>
  <c r="S227" i="5"/>
  <c r="T28" i="5"/>
  <c r="T24" i="5"/>
  <c r="T110" i="5"/>
  <c r="T150" i="5"/>
  <c r="T206" i="5"/>
  <c r="S145" i="5"/>
  <c r="T30" i="5"/>
  <c r="S135" i="5"/>
  <c r="S167" i="5"/>
  <c r="T96" i="5"/>
  <c r="T73" i="5"/>
  <c r="T183" i="5"/>
  <c r="T50" i="5"/>
  <c r="S143" i="5"/>
  <c r="T83" i="5"/>
  <c r="T210" i="5"/>
  <c r="T135" i="5"/>
  <c r="T106" i="5"/>
  <c r="S130" i="5"/>
  <c r="T120" i="5"/>
  <c r="S32" i="5"/>
  <c r="S29" i="5"/>
  <c r="S121" i="5"/>
  <c r="T172" i="5"/>
  <c r="T104" i="5"/>
  <c r="S40" i="5"/>
  <c r="T115" i="5"/>
  <c r="S206" i="5"/>
  <c r="S209" i="5"/>
  <c r="S205" i="5"/>
  <c r="T108" i="5"/>
  <c r="S185" i="5"/>
  <c r="T156" i="5"/>
  <c r="T128" i="5"/>
  <c r="S158" i="5"/>
  <c r="S5" i="5"/>
  <c r="T207" i="5"/>
  <c r="S221" i="5"/>
  <c r="T228" i="5"/>
  <c r="S117" i="5"/>
  <c r="S141" i="5"/>
  <c r="S180" i="5"/>
  <c r="S188" i="5"/>
  <c r="S151" i="5"/>
  <c r="S71" i="5"/>
  <c r="S43" i="5"/>
  <c r="S239" i="5"/>
  <c r="S196" i="5"/>
  <c r="S140" i="5"/>
  <c r="S120" i="5"/>
  <c r="S132" i="5"/>
  <c r="S191" i="5"/>
  <c r="S228" i="5"/>
  <c r="S240" i="5"/>
  <c r="S176" i="5"/>
  <c r="S163" i="5"/>
  <c r="S211" i="5"/>
  <c r="S194" i="5"/>
  <c r="S236" i="5"/>
  <c r="S104" i="5"/>
  <c r="S184" i="5"/>
  <c r="S204" i="5"/>
  <c r="S172" i="5"/>
  <c r="S192" i="5"/>
  <c r="S144" i="5"/>
  <c r="S91" i="5"/>
  <c r="S243" i="5"/>
  <c r="S136" i="5"/>
  <c r="S112" i="5"/>
  <c r="S200" i="5"/>
  <c r="S128" i="5"/>
  <c r="S124" i="5"/>
  <c r="S168" i="5"/>
  <c r="S220" i="5"/>
  <c r="S156" i="5"/>
  <c r="S207" i="5"/>
  <c r="S160" i="5"/>
  <c r="S208" i="5"/>
  <c r="S103" i="5"/>
  <c r="S87" i="5"/>
  <c r="S224" i="5"/>
  <c r="S244" i="5"/>
  <c r="S212" i="5"/>
  <c r="S152" i="5"/>
  <c r="S201" i="5"/>
  <c r="S164" i="5"/>
  <c r="S232" i="5"/>
  <c r="S108" i="5"/>
  <c r="S189" i="5"/>
  <c r="S102" i="5"/>
  <c r="S216" i="5"/>
  <c r="S148" i="5"/>
  <c r="S116" i="5"/>
  <c r="S215" i="5"/>
  <c r="S115" i="5"/>
  <c r="C45" i="6" l="1"/>
  <c r="C26" i="6"/>
  <c r="C42" i="6"/>
  <c r="C40" i="6"/>
  <c r="G68" i="6"/>
  <c r="H68" i="6" s="1"/>
  <c r="D68" i="6" s="1"/>
  <c r="C39" i="6"/>
  <c r="C35" i="6"/>
  <c r="C46" i="6"/>
  <c r="C34" i="6"/>
  <c r="D34" i="6"/>
  <c r="D31" i="6"/>
  <c r="C30" i="6"/>
  <c r="D30" i="6"/>
  <c r="C32" i="6"/>
  <c r="D32" i="6"/>
  <c r="R16" i="5"/>
  <c r="F16" i="5"/>
  <c r="F10" i="5"/>
  <c r="R10" i="5"/>
  <c r="R13" i="5"/>
  <c r="F13" i="5"/>
  <c r="R7" i="5"/>
  <c r="F7" i="5"/>
  <c r="R17" i="5"/>
  <c r="F17" i="5"/>
  <c r="G7" i="5"/>
  <c r="G66" i="6"/>
  <c r="H66" i="6" s="1"/>
  <c r="C66" i="6" s="1"/>
  <c r="G67" i="6"/>
  <c r="H67" i="6" s="1"/>
  <c r="D67" i="6" s="1"/>
  <c r="G65" i="6"/>
  <c r="H65" i="6" s="1"/>
  <c r="C65" i="6" s="1"/>
  <c r="R12" i="5"/>
  <c r="F12" i="5"/>
  <c r="R9" i="5"/>
  <c r="F9" i="5"/>
  <c r="R8" i="5"/>
  <c r="F8" i="5"/>
  <c r="G9" i="5"/>
  <c r="G10" i="5"/>
  <c r="G8" i="5"/>
  <c r="F15" i="5"/>
  <c r="R15" i="5"/>
  <c r="R11" i="5"/>
  <c r="F11" i="5"/>
  <c r="R14" i="5"/>
  <c r="F14" i="5"/>
  <c r="C49" i="6"/>
  <c r="C47" i="6"/>
  <c r="C60" i="6"/>
  <c r="D60" i="6"/>
  <c r="D58" i="6"/>
  <c r="C58" i="6"/>
  <c r="D63" i="6"/>
  <c r="C63" i="6"/>
  <c r="C62" i="6"/>
  <c r="D62" i="6"/>
  <c r="C54" i="6"/>
  <c r="D54" i="6"/>
  <c r="D57" i="6"/>
  <c r="C57" i="6"/>
  <c r="F56" i="6"/>
  <c r="H56" i="6" s="1"/>
  <c r="H55" i="6"/>
  <c r="D59" i="6"/>
  <c r="C59" i="6"/>
  <c r="T17" i="5"/>
  <c r="T8" i="5"/>
  <c r="T14" i="5"/>
  <c r="T12" i="5"/>
  <c r="T15" i="5"/>
  <c r="T13" i="5"/>
  <c r="T11" i="5"/>
  <c r="T9" i="5"/>
  <c r="T16" i="5"/>
  <c r="T7" i="5"/>
  <c r="T10" i="5"/>
  <c r="C68" i="6" l="1"/>
  <c r="X13" i="5"/>
  <c r="X10" i="5"/>
  <c r="D65" i="6"/>
  <c r="X9" i="5"/>
  <c r="X12" i="5"/>
  <c r="X14" i="5"/>
  <c r="X17" i="5"/>
  <c r="D66" i="6"/>
  <c r="C67" i="6"/>
  <c r="X11" i="5"/>
  <c r="X15" i="5"/>
  <c r="X8" i="5"/>
  <c r="X7" i="5"/>
  <c r="G69" i="6"/>
  <c r="X16" i="5"/>
  <c r="D55" i="6"/>
  <c r="C55" i="6"/>
  <c r="D56" i="6"/>
  <c r="C56" i="6"/>
  <c r="S13" i="5"/>
  <c r="S15" i="5"/>
  <c r="S14" i="5"/>
  <c r="S10" i="5"/>
  <c r="S17" i="5"/>
  <c r="S7" i="5"/>
  <c r="S12" i="5"/>
  <c r="S8" i="5"/>
  <c r="S16" i="5"/>
  <c r="S11" i="5"/>
  <c r="S9"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<sst xmlns="http://schemas.openxmlformats.org/spreadsheetml/2006/main" count="24637" uniqueCount="16242">
  <si>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</si>
  <si>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</si>
  <si>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</si>
  <si>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</si>
  <si>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</si>
  <si>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</si>
  <si>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</si>
  <si>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</si>
  <si>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</si>
  <si>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</si>
  <si>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</si>
  <si>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</si>
  <si>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</si>
  <si>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</si>
  <si>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</si>
  <si>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</si>
  <si>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</si>
  <si>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</si>
  <si>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</si>
  <si>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</si>
  <si>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</si>
  <si>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</si>
  <si>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</si>
  <si>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</si>
  <si>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</si>
  <si>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</si>
  <si>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</si>
  <si>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</si>
  <si>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</si>
  <si>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</si>
  <si>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</si>
  <si>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</si>
  <si>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</si>
  <si>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</si>
  <si>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</si>
  <si>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</si>
  <si>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</si>
  <si>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</si>
  <si>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</si>
  <si>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</si>
  <si>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</si>
  <si>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</si>
  <si>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</si>
  <si>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</si>
  <si>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</si>
  <si>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</si>
  <si>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</si>
  <si>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</si>
  <si>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</si>
  <si>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</si>
  <si>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</si>
  <si>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</si>
  <si>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</si>
  <si>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</si>
  <si>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</si>
  <si>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</si>
  <si>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</si>
  <si>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</si>
  <si>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</si>
  <si>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</si>
  <si>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</si>
  <si>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</si>
  <si>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</si>
  <si>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</si>
  <si>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</si>
  <si>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</si>
  <si>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</si>
  <si>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</si>
  <si>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</si>
  <si>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</si>
  <si>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</si>
  <si>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</si>
  <si>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</si>
  <si>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</si>
  <si>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</si>
  <si>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</si>
  <si>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</si>
  <si>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</si>
  <si>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</si>
  <si>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</si>
  <si>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</si>
  <si>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</si>
  <si>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</si>
  <si>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</si>
  <si>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</si>
  <si>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</si>
  <si>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</si>
  <si>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</si>
  <si>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</si>
  <si>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</si>
  <si>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</si>
  <si>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</si>
  <si>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</si>
  <si>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</si>
  <si>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</si>
  <si>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</si>
  <si>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</si>
  <si>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</si>
  <si>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</si>
  <si>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</si>
  <si>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</si>
  <si>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</si>
  <si>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</si>
  <si>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</si>
  <si>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</si>
  <si>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</si>
  <si>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</si>
  <si>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</si>
  <si>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</si>
  <si>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</si>
  <si>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</si>
  <si>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</si>
  <si>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</si>
  <si>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</si>
  <si>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</si>
  <si>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</si>
  <si>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</si>
  <si>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</si>
  <si>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</si>
  <si>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</si>
  <si>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</si>
  <si>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</si>
  <si>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</si>
  <si>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</si>
  <si>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</si>
  <si>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</si>
  <si>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</si>
  <si>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</si>
  <si>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</si>
  <si>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</si>
  <si>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</si>
  <si>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</si>
  <si>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</si>
  <si>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</si>
  <si>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</si>
  <si>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</si>
  <si>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</si>
  <si>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</si>
  <si>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</si>
  <si>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</si>
  <si>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</si>
  <si>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</si>
  <si>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</si>
  <si>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</si>
  <si>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</si>
  <si>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</si>
  <si>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</si>
  <si>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</si>
  <si>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</si>
  <si>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</si>
  <si>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</si>
  <si>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</si>
  <si>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</si>
  <si>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</si>
  <si>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</si>
  <si>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</si>
  <si>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</si>
  <si>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</si>
  <si>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</si>
  <si>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</si>
  <si>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</si>
  <si>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</si>
  <si>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</si>
  <si>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</si>
  <si>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</si>
  <si>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</si>
  <si>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</si>
  <si>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</si>
  <si>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</si>
  <si>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</si>
  <si>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</si>
  <si>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</si>
  <si>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</si>
  <si>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</si>
  <si>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</si>
  <si>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</si>
  <si>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</si>
  <si>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</si>
  <si>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</si>
  <si>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</si>
  <si>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</si>
  <si>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</si>
  <si>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</si>
  <si>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</si>
  <si>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</si>
  <si>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</si>
  <si>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</si>
  <si>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</si>
  <si>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</si>
  <si>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</si>
  <si>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</si>
  <si>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</si>
  <si>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</si>
  <si>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</si>
  <si>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</si>
  <si>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</si>
  <si>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</si>
  <si>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</si>
  <si>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</si>
  <si>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</si>
  <si>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</si>
  <si>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</si>
  <si>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</si>
  <si>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</si>
  <si>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</si>
  <si>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</si>
  <si>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</si>
  <si>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</si>
  <si>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</si>
  <si>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</si>
  <si>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</si>
  <si>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</si>
  <si>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</si>
  <si>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</si>
  <si>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</si>
  <si>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</si>
  <si>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</si>
  <si>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</si>
  <si>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</si>
  <si>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</si>
  <si>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</si>
  <si>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</si>
  <si>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</si>
  <si>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</si>
  <si>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</si>
  <si>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</si>
  <si>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</si>
  <si>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</si>
  <si>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</si>
  <si>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</si>
  <si>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</si>
  <si>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</si>
  <si>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</si>
  <si>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</si>
  <si>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</si>
  <si>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</si>
  <si>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</si>
  <si>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</si>
  <si>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</si>
  <si>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</si>
  <si>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</si>
  <si>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</si>
  <si>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</si>
  <si>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</si>
  <si>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</si>
  <si>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</si>
  <si>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</si>
  <si>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</si>
  <si>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</si>
  <si>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</si>
  <si>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</si>
  <si>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</si>
  <si>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</si>
  <si>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</si>
  <si>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</si>
  <si>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</si>
  <si>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</si>
  <si>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</si>
  <si>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</si>
  <si>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</si>
  <si>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</si>
  <si>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</si>
  <si>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</si>
  <si>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</si>
  <si>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</si>
  <si>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</si>
  <si>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</si>
  <si>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</si>
  <si>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</si>
  <si>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</si>
  <si>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</si>
  <si>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</si>
  <si>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</si>
  <si>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</si>
  <si>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</si>
  <si>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</si>
  <si>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</si>
  <si>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</si>
  <si>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</si>
  <si>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</si>
  <si>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</si>
  <si>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</si>
  <si>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</si>
  <si>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</si>
  <si>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</si>
  <si>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</si>
  <si>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</si>
  <si>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</si>
  <si>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</si>
  <si>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</si>
  <si>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</si>
  <si>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</si>
  <si>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</si>
  <si>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</si>
  <si>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</si>
  <si>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</si>
  <si>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</si>
  <si>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</si>
  <si>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</si>
  <si>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</si>
  <si>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</si>
  <si>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</si>
  <si>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</si>
  <si>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</si>
  <si>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</si>
  <si>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</si>
  <si>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</si>
  <si>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</si>
  <si>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</si>
  <si>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</si>
  <si>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</si>
  <si>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</si>
  <si>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</si>
  <si>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</si>
  <si>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</si>
  <si>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</si>
  <si>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</si>
  <si>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</si>
  <si>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</si>
  <si>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</si>
  <si>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</si>
  <si>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</si>
  <si>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</si>
  <si>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</si>
  <si>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</si>
  <si>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</si>
  <si>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</si>
  <si>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</si>
  <si>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</si>
  <si>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</si>
  <si>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</si>
  <si>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</si>
  <si>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</si>
  <si>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</si>
  <si>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</si>
  <si>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</si>
  <si>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</si>
  <si>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</si>
  <si>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</si>
  <si>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</si>
  <si>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</si>
  <si>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</si>
  <si>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</si>
  <si>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</si>
  <si>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</si>
  <si>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</si>
  <si>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</si>
  <si>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</si>
  <si>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</si>
  <si>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</si>
  <si>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</si>
  <si>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</si>
  <si>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</si>
  <si>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</si>
  <si>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</si>
  <si>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</si>
  <si>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</si>
  <si>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</si>
  <si>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</si>
  <si>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</si>
  <si>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</si>
  <si>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</si>
  <si>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</si>
  <si>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</si>
  <si>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</si>
  <si>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</si>
  <si>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</si>
  <si>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</si>
  <si>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</si>
  <si>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</si>
  <si>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</si>
  <si>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</si>
  <si>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</si>
  <si>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</si>
  <si>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</si>
  <si>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</si>
  <si>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</si>
  <si>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</si>
  <si>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</si>
  <si>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</si>
  <si>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</si>
  <si>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</si>
  <si>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</si>
  <si>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</si>
  <si>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</si>
  <si>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</si>
  <si>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</si>
  <si>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</si>
  <si>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</si>
  <si>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</si>
  <si>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</si>
  <si>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</si>
  <si>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</si>
  <si>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</si>
  <si>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</si>
  <si>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</si>
  <si>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</si>
  <si>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</si>
  <si>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</si>
  <si>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</si>
  <si>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</si>
  <si>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</si>
  <si>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</si>
  <si>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</si>
  <si>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</si>
  <si>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</si>
  <si>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</si>
  <si>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</si>
  <si>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</si>
  <si>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</si>
  <si>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</si>
  <si>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</si>
  <si>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</si>
  <si>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</si>
  <si>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</si>
  <si>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</si>
  <si>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</si>
  <si>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</si>
  <si>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</si>
  <si>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</si>
  <si>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</si>
  <si>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</si>
  <si>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</si>
  <si>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</si>
  <si>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</si>
  <si>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</si>
  <si>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</si>
  <si>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</si>
  <si>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</si>
  <si>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</si>
  <si>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</si>
  <si>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</si>
  <si>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</si>
  <si>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</si>
  <si>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</si>
  <si>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</si>
  <si>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</si>
  <si>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</si>
  <si>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</si>
  <si>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</si>
  <si>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</si>
  <si>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</si>
  <si>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</si>
  <si>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</si>
  <si>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</si>
  <si>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</si>
  <si>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</si>
  <si>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</si>
  <si>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</si>
  <si>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</si>
  <si>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</si>
  <si>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</si>
  <si>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</si>
  <si>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</si>
  <si>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</si>
  <si>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</si>
  <si>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</si>
  <si>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</si>
  <si>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</si>
  <si>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</si>
  <si>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</si>
  <si>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</si>
  <si>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</si>
  <si>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</si>
  <si>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</si>
  <si>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</si>
  <si>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</si>
  <si>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</si>
  <si>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</si>
  <si>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</si>
  <si>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</si>
  <si>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</si>
  <si>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</si>
  <si>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</si>
  <si>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</si>
  <si>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</si>
  <si>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</si>
  <si>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</si>
  <si>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</si>
  <si>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</si>
  <si>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</si>
  <si>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</si>
  <si>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</si>
  <si>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</si>
  <si>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</si>
  <si>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</si>
  <si>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</si>
  <si>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</si>
  <si>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</si>
  <si>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</si>
  <si>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</si>
  <si>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</si>
  <si>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</si>
  <si>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</si>
  <si>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</si>
  <si>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</si>
  <si>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</si>
  <si>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</si>
  <si>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</si>
  <si>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</si>
  <si>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</si>
  <si>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</si>
  <si>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</si>
  <si>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</si>
  <si>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</si>
  <si>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</si>
  <si>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</si>
  <si>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</si>
  <si>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</si>
  <si>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</si>
  <si>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</si>
  <si>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</si>
  <si>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</si>
  <si>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</si>
  <si>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</si>
  <si>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</si>
  <si>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</si>
  <si>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</si>
  <si>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</si>
  <si>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</si>
  <si>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</si>
  <si>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</si>
  <si>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</si>
  <si>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</si>
  <si>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</si>
  <si>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</si>
  <si>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</si>
  <si>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</si>
  <si>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</si>
  <si>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</si>
  <si>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</si>
  <si>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</si>
  <si>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</si>
  <si>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</si>
  <si>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</si>
  <si>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</si>
  <si>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</si>
  <si>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</si>
  <si>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</si>
  <si>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</si>
  <si>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</si>
  <si>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</si>
  <si>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</si>
  <si>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</si>
  <si>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</si>
  <si>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</si>
  <si>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</si>
  <si>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</si>
  <si>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</si>
  <si>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</si>
  <si>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</si>
  <si>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</si>
  <si>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</si>
  <si>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</si>
  <si>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</si>
  <si>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</si>
  <si>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</si>
  <si>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</si>
  <si>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</si>
  <si>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</si>
  <si>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</si>
  <si>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</si>
  <si>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</si>
  <si>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</si>
  <si>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</si>
  <si>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</si>
  <si>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</si>
  <si>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</si>
  <si>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</si>
  <si>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</si>
  <si>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</si>
  <si>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</si>
  <si>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</si>
  <si>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</si>
  <si>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</si>
  <si>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</si>
  <si>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</si>
  <si>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</si>
  <si>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</si>
  <si>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</si>
  <si>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</si>
  <si>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</si>
  <si>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</si>
  <si>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</si>
  <si>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</si>
  <si>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</si>
  <si>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</si>
  <si>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</si>
  <si>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</si>
  <si>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</si>
  <si>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</si>
  <si>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</si>
  <si>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</si>
  <si>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</si>
  <si>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</si>
  <si>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</si>
  <si>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</si>
  <si>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</si>
  <si>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</si>
  <si>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</si>
  <si>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</si>
  <si>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</si>
  <si>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</si>
  <si>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</si>
  <si>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</si>
  <si>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</si>
  <si>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</si>
  <si>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</si>
  <si>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</si>
  <si>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</si>
  <si>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</si>
  <si>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</si>
  <si>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</si>
  <si>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</si>
  <si>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</si>
  <si>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</si>
  <si>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</si>
  <si>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</si>
  <si>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</si>
  <si>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</si>
  <si>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</si>
  <si>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</si>
  <si>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</si>
  <si>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</si>
  <si>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</si>
  <si>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</si>
  <si>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</si>
  <si>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</si>
  <si>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</si>
  <si>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</si>
  <si>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</si>
  <si>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</si>
  <si>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</si>
  <si>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</si>
  <si>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</si>
  <si>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</si>
  <si>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</si>
  <si>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</si>
  <si>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</si>
  <si>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</si>
  <si>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</si>
  <si>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</si>
  <si>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</si>
  <si>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</si>
  <si>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</si>
  <si>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</si>
  <si>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</si>
  <si>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</si>
  <si>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</si>
  <si>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</si>
  <si>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</si>
  <si>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</si>
  <si>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</si>
  <si>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</si>
  <si>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</si>
  <si>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</si>
  <si>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</si>
  <si>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</si>
  <si>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</si>
  <si>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</si>
  <si>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</si>
  <si>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</si>
  <si>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</si>
  <si>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</si>
  <si>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</si>
  <si>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</si>
  <si>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</si>
  <si>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</si>
  <si>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</si>
  <si>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</si>
  <si>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</si>
  <si>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</si>
  <si>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</si>
  <si>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</si>
  <si>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</si>
  <si>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</si>
  <si>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</si>
  <si>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</si>
  <si>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</si>
  <si>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</si>
  <si>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</si>
  <si>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</si>
  <si>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</si>
  <si>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</si>
  <si>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</si>
  <si>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</si>
  <si>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</si>
  <si>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</si>
  <si>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</si>
  <si>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</si>
  <si>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</si>
  <si>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</si>
  <si>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</si>
  <si>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</si>
  <si>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</si>
  <si>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</si>
  <si>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</si>
  <si>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</si>
  <si>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</si>
  <si>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</si>
  <si>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</si>
  <si>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</si>
  <si>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</si>
  <si>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</si>
  <si>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</si>
  <si>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</si>
  <si>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</si>
  <si>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</si>
  <si>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</si>
  <si>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</si>
  <si>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</si>
  <si>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</si>
  <si>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</si>
  <si>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</si>
  <si>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</si>
  <si>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</si>
  <si>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</si>
  <si>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</si>
  <si>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</si>
  <si>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</si>
  <si>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</si>
  <si>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</si>
  <si>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</si>
  <si>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</si>
  <si>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</si>
  <si>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</si>
  <si>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</si>
  <si>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</si>
  <si>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</si>
  <si>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</si>
  <si>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</si>
  <si>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</si>
  <si>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</si>
  <si>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</si>
  <si>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</si>
  <si>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</si>
  <si>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</si>
  <si>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</si>
  <si>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</si>
  <si>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</si>
  <si>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</si>
  <si>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</si>
  <si>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</si>
  <si>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</si>
  <si>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</si>
  <si>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</si>
  <si>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</si>
  <si>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</si>
  <si>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</si>
  <si>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</si>
  <si>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</si>
  <si>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</si>
  <si>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</si>
  <si>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</si>
  <si>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</si>
  <si>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</si>
  <si>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</si>
  <si>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</si>
  <si>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</si>
  <si>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</si>
  <si>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</si>
  <si>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</si>
  <si>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</si>
  <si>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</si>
  <si>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</si>
  <si>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</si>
  <si>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</si>
  <si>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</si>
  <si>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</si>
  <si>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</si>
  <si>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</si>
  <si>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</si>
  <si>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</si>
  <si>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</si>
  <si>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</si>
  <si>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</si>
  <si>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</si>
  <si>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</si>
  <si>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</si>
  <si>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</si>
  <si>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</si>
  <si>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</si>
  <si>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</si>
  <si>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</si>
  <si>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</si>
  <si>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</si>
  <si>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</si>
  <si>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</si>
  <si>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</si>
  <si>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</si>
  <si>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</si>
  <si>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</si>
  <si>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</si>
  <si>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</si>
  <si>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</si>
  <si>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</si>
  <si>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</si>
  <si>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</si>
  <si>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</si>
  <si>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</si>
  <si>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</si>
  <si>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</si>
  <si>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</si>
  <si>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</si>
  <si>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</si>
  <si>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</si>
  <si>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</si>
  <si>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</si>
  <si>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</si>
  <si>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</si>
  <si>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</si>
  <si>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</si>
  <si>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</si>
  <si>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</si>
  <si>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</si>
  <si>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</si>
  <si>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</si>
  <si>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</si>
  <si>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</si>
  <si>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</si>
  <si>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</si>
  <si>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</si>
  <si>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</si>
  <si>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</si>
  <si>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</si>
  <si>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</si>
  <si>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</si>
  <si>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</si>
  <si>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</si>
  <si>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</si>
  <si>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</si>
  <si>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</si>
  <si>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</si>
  <si>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</si>
  <si>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</si>
  <si>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</si>
  <si>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</si>
  <si>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</si>
  <si>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</si>
  <si>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</si>
  <si>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</si>
  <si>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</si>
  <si>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</si>
  <si>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</si>
  <si>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</si>
  <si>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</si>
  <si>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</si>
  <si>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</si>
  <si>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</si>
  <si>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</si>
  <si>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</si>
  <si>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</si>
  <si>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</si>
  <si>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</si>
  <si>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</si>
  <si>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</si>
  <si>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</si>
  <si>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</si>
  <si>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</si>
  <si>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</si>
  <si>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</si>
  <si>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</si>
  <si>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</si>
  <si>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</si>
  <si>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</si>
  <si>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</si>
  <si>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</si>
  <si>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</si>
  <si>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</si>
  <si>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</si>
  <si>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</si>
  <si>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</si>
  <si>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</si>
  <si>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</si>
  <si>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</si>
  <si>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</si>
  <si>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</si>
  <si>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</si>
  <si>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</si>
  <si>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</si>
  <si>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</si>
  <si>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</si>
  <si>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</si>
  <si>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</si>
  <si>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</si>
  <si>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</si>
  <si>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</si>
  <si>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</si>
  <si>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</si>
  <si>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</si>
  <si>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</si>
  <si>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</si>
  <si>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</si>
  <si>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</si>
  <si>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</si>
  <si>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</si>
  <si>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</si>
  <si>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</si>
  <si>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</si>
  <si>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</si>
  <si>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</si>
  <si>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</si>
  <si>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</si>
  <si>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</si>
  <si>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</si>
  <si>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</si>
  <si>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</si>
  <si>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</si>
  <si>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</si>
  <si>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</si>
  <si>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</si>
  <si>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</si>
  <si>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</si>
  <si>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</si>
  <si>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</si>
  <si>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</si>
  <si>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</si>
  <si>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</si>
  <si>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</si>
  <si>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</si>
  <si>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</si>
  <si>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</si>
  <si>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</si>
  <si>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</si>
  <si>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</si>
  <si>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</si>
  <si>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</si>
  <si>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</si>
  <si>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</si>
  <si>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</si>
  <si>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</si>
  <si>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</si>
  <si>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</si>
  <si>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</si>
  <si>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</si>
  <si>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</si>
  <si>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</si>
  <si>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</si>
  <si>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</si>
  <si>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</si>
  <si>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</si>
  <si>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</si>
  <si>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</si>
  <si>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</si>
  <si>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</si>
  <si>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</si>
  <si>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</si>
  <si>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</si>
  <si>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</si>
  <si>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</si>
  <si>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</si>
  <si>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</si>
  <si>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</si>
  <si>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</si>
  <si>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</si>
  <si>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</si>
  <si>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</si>
  <si>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</si>
  <si>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</si>
  <si>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</si>
  <si>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</si>
  <si>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</si>
  <si>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</si>
  <si>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</si>
  <si>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</si>
  <si>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</si>
  <si>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</si>
  <si>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</si>
  <si>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</si>
  <si>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</si>
  <si>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</si>
  <si>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</si>
  <si>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</si>
  <si>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</si>
  <si>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</si>
  <si>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</si>
  <si>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</si>
  <si>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</si>
  <si>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</si>
  <si>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</si>
  <si>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</si>
  <si>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</si>
  <si>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</si>
  <si>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</si>
  <si>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</si>
  <si>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</si>
  <si>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</si>
  <si>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</si>
  <si>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</si>
  <si>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</si>
  <si>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</si>
  <si>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</si>
  <si>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</si>
  <si>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</si>
  <si>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</si>
  <si>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</si>
  <si>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</si>
  <si>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</si>
  <si>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</si>
  <si>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</si>
  <si>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</si>
  <si>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</si>
  <si>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</si>
  <si>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</si>
  <si>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</si>
  <si>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</si>
  <si>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</si>
  <si>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</si>
  <si>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</si>
  <si>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</si>
  <si>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</si>
  <si>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</si>
  <si>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</si>
  <si>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</si>
  <si>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</si>
  <si>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</si>
  <si>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</si>
  <si>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</si>
  <si>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</si>
  <si>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</si>
  <si>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</si>
  <si>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</si>
  <si>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</si>
  <si>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</si>
  <si>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</si>
  <si>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</si>
  <si>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</si>
  <si>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</si>
  <si>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</si>
  <si>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</si>
  <si>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</si>
  <si>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</si>
  <si>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</si>
  <si>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</si>
  <si>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</si>
  <si>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</si>
  <si>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</si>
  <si>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</si>
  <si>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</si>
  <si>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</si>
  <si>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</si>
  <si>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</si>
  <si>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</si>
  <si>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</si>
  <si>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</si>
  <si>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</si>
  <si>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</si>
  <si>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</si>
  <si>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</si>
  <si>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</si>
  <si>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</si>
  <si>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</si>
  <si>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</si>
  <si>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</si>
  <si>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</si>
  <si>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</si>
  <si>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</si>
  <si>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</si>
  <si>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</si>
  <si>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</si>
  <si>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</si>
  <si>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</si>
  <si>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</si>
  <si>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</si>
  <si>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</si>
  <si>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</si>
  <si>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</si>
  <si>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</si>
  <si>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</si>
  <si>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</si>
  <si>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</si>
  <si>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</si>
  <si>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</si>
  <si>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</si>
  <si>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</si>
  <si>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</si>
  <si>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</si>
  <si>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</si>
  <si>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</si>
  <si>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</si>
  <si>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</si>
  <si>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</si>
  <si>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</si>
  <si>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</si>
  <si>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</si>
  <si>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</si>
  <si>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</si>
  <si>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</si>
  <si>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</si>
  <si>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</si>
  <si>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</si>
  <si>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</si>
  <si>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</si>
  <si>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</si>
  <si>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</si>
  <si>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</si>
  <si>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</si>
  <si>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</si>
  <si>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</si>
  <si>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</si>
  <si>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</si>
  <si>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</si>
  <si>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</si>
  <si>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</si>
  <si>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</si>
  <si>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</si>
  <si>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</si>
  <si>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</si>
  <si>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</si>
  <si>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</si>
  <si>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</si>
  <si>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</si>
  <si>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</si>
  <si>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</si>
  <si>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</si>
  <si>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</si>
  <si>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</si>
  <si>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</si>
  <si>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</si>
  <si>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</si>
  <si>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</si>
  <si>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</si>
  <si>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</si>
  <si>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</si>
  <si>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</si>
  <si>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</si>
  <si>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</si>
  <si>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</si>
  <si>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</si>
  <si>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</si>
  <si>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</si>
  <si>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</si>
  <si>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</si>
  <si>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</si>
  <si>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</si>
  <si>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</si>
  <si>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</si>
  <si>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</si>
  <si>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</si>
  <si>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</si>
  <si>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</si>
  <si>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</si>
  <si>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</si>
  <si>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</si>
  <si>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</si>
  <si>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</si>
  <si>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</si>
  <si>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</si>
  <si>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</si>
  <si>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</si>
  <si>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</si>
  <si>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</si>
  <si>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</si>
  <si>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</si>
  <si>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</si>
  <si>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</si>
  <si>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</si>
  <si>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</si>
  <si>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</si>
  <si>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</si>
  <si>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</si>
  <si>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</si>
  <si>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</si>
  <si>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</si>
  <si>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</si>
  <si>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</si>
  <si>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</si>
  <si>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</si>
  <si>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</si>
  <si>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</si>
  <si>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</si>
  <si>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</si>
  <si>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</si>
  <si>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</si>
  <si>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</si>
  <si>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</si>
  <si>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</si>
  <si>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</si>
  <si>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</si>
  <si>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</si>
  <si>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</si>
  <si>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</si>
  <si>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</si>
  <si>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</si>
  <si>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</si>
  <si>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</si>
  <si>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</si>
  <si>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</si>
  <si>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</si>
  <si>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</si>
  <si>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</si>
  <si>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</si>
  <si>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</si>
  <si>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</si>
  <si>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</si>
  <si>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</si>
  <si>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</si>
  <si>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</si>
  <si>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</si>
  <si>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</si>
  <si>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</si>
  <si>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</si>
  <si>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</si>
  <si>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</si>
  <si>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</si>
  <si>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</si>
  <si>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</si>
  <si>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</si>
  <si>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</si>
  <si>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</si>
  <si>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</si>
  <si>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</si>
  <si>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</si>
  <si>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</si>
  <si>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</si>
  <si>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</si>
  <si>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</si>
  <si>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</si>
  <si>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</si>
  <si>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</si>
  <si>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</si>
  <si>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</si>
  <si>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</si>
  <si>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</si>
  <si>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</si>
  <si>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</si>
  <si>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</si>
  <si>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</si>
  <si>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</si>
  <si>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</si>
  <si>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</si>
  <si>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</si>
  <si>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</si>
  <si>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</si>
  <si>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</si>
  <si>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</si>
  <si>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</si>
  <si>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</si>
  <si>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</si>
  <si>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</si>
  <si>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</si>
  <si>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</si>
  <si>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</si>
  <si>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</si>
  <si>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</si>
  <si>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</si>
  <si>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</si>
  <si>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</si>
  <si>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</si>
  <si>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</si>
  <si>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</si>
  <si>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</si>
  <si>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</si>
  <si>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</si>
  <si>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</si>
  <si>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</si>
  <si>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</si>
  <si>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</si>
  <si>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</si>
  <si>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</si>
  <si>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</si>
  <si>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</si>
  <si>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</si>
  <si>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</si>
  <si>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</si>
  <si>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</si>
  <si>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</si>
  <si>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</si>
  <si>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</si>
  <si>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</si>
  <si>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</si>
  <si>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</si>
  <si>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</si>
  <si>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</si>
  <si>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</si>
  <si>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</si>
  <si>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</si>
  <si>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</si>
  <si>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</si>
  <si>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</si>
  <si>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</si>
  <si>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</si>
  <si>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</si>
  <si>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</si>
  <si>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</si>
  <si>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</si>
  <si>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</si>
  <si>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</si>
  <si>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</si>
  <si>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</si>
  <si>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</si>
  <si>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</si>
  <si>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</si>
  <si>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</si>
  <si>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</si>
  <si>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</si>
  <si>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</si>
  <si>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</si>
  <si>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</si>
  <si>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</si>
  <si>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</si>
  <si>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</si>
  <si>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</si>
  <si>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</si>
  <si>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</si>
  <si>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</si>
  <si>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</si>
  <si>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</si>
  <si>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</si>
  <si>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</si>
  <si>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</si>
  <si>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</si>
  <si>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</si>
  <si>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</si>
  <si>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</si>
  <si>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</si>
  <si>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</si>
  <si>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</si>
  <si>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</si>
  <si>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</si>
  <si>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</si>
  <si>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</si>
  <si>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</si>
  <si>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</si>
  <si>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</si>
  <si>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</si>
  <si>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</si>
  <si>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</si>
  <si>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</si>
  <si>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</si>
  <si>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</si>
  <si>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</si>
  <si>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</si>
  <si>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</si>
  <si>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</si>
  <si>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</si>
  <si>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</si>
  <si>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</si>
  <si>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</si>
  <si>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</si>
  <si>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</si>
  <si>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</si>
  <si>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</si>
  <si>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</si>
  <si>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</si>
  <si>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</si>
  <si>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</si>
  <si>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</si>
  <si>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</si>
  <si>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</si>
  <si>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</si>
  <si>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</si>
  <si>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</si>
  <si>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</si>
  <si>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</si>
  <si>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</si>
  <si>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</si>
  <si>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</si>
  <si>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</si>
  <si>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</si>
  <si>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</si>
  <si>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</si>
  <si>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</si>
  <si>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</si>
  <si>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</si>
  <si>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</si>
  <si>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</si>
  <si>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</si>
  <si>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</si>
  <si>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</si>
  <si>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</si>
  <si>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</si>
  <si>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</si>
  <si>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</si>
  <si>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</si>
  <si>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</si>
  <si>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</si>
  <si>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</si>
  <si>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</si>
  <si>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</si>
  <si>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</si>
  <si>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</si>
  <si>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</si>
  <si>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</si>
  <si>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</si>
  <si>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</si>
  <si>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</si>
  <si>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</si>
  <si>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</si>
  <si>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</si>
  <si>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</si>
  <si>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</si>
  <si>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</si>
  <si>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</si>
  <si>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</si>
  <si>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</si>
  <si>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</si>
  <si>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</si>
  <si>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</si>
  <si>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</si>
  <si>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</si>
  <si>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</si>
  <si>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</si>
  <si>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</si>
  <si>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</si>
  <si>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</si>
  <si>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</si>
  <si>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</si>
  <si>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</si>
  <si>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</si>
  <si>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</si>
  <si>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</si>
  <si>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</si>
  <si>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</si>
  <si>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</si>
  <si>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</si>
  <si>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</si>
  <si>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</si>
  <si>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</si>
  <si>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</si>
  <si>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</si>
  <si>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</si>
  <si>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</si>
  <si>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</si>
  <si>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</si>
  <si>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</si>
  <si>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</si>
  <si>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</si>
  <si>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</si>
  <si>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</si>
  <si>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</si>
  <si>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</si>
  <si>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</si>
  <si>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</si>
  <si>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</si>
  <si>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</si>
  <si>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</si>
  <si>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</si>
  <si>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</si>
  <si>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</si>
  <si>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</si>
  <si>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</si>
  <si>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</si>
  <si>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</si>
  <si>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</si>
  <si>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</si>
  <si>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</si>
  <si>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</si>
  <si>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</si>
  <si>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</si>
  <si>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</si>
  <si>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</si>
  <si>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</si>
  <si>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</si>
  <si>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</si>
  <si>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</si>
  <si>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</si>
  <si>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</si>
  <si>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</si>
  <si>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</si>
  <si>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</si>
  <si>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</si>
  <si>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</si>
  <si>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</si>
  <si>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</si>
  <si>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</si>
  <si>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</si>
  <si>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</si>
  <si>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</si>
  <si>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</si>
  <si>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</si>
  <si>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</si>
  <si>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</si>
  <si>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</si>
  <si>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</si>
  <si>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</si>
  <si>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</si>
  <si>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</si>
  <si>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</si>
  <si>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</si>
  <si>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</si>
  <si>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</si>
  <si>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</si>
  <si>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</si>
  <si>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</si>
  <si>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</si>
  <si>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</si>
  <si>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</si>
  <si>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</si>
  <si>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</si>
  <si>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</si>
  <si>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</si>
  <si>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</si>
  <si>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</si>
  <si>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</si>
  <si>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</si>
  <si>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</si>
  <si>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</si>
  <si>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</si>
  <si>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</si>
  <si>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</si>
  <si>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</si>
  <si>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</si>
  <si>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</si>
  <si>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</si>
  <si>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</si>
  <si>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</si>
  <si>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</si>
  <si>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</si>
  <si>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</si>
  <si>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</si>
  <si>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</si>
  <si>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</si>
  <si>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</si>
  <si>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</si>
  <si>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</si>
  <si>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</si>
  <si>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</si>
  <si>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</si>
  <si>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</si>
  <si>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</si>
  <si>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</si>
  <si>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</si>
  <si>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</si>
  <si>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</si>
  <si>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</si>
  <si>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</si>
  <si>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</si>
  <si>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</si>
  <si>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</si>
  <si>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</si>
  <si>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</si>
  <si>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</si>
  <si>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</si>
  <si>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</si>
  <si>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</si>
  <si>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</si>
  <si>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</si>
  <si>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</si>
  <si>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</si>
  <si>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</si>
  <si>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</si>
  <si>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</si>
  <si>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</si>
  <si>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</si>
  <si>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</si>
  <si>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</si>
  <si>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</si>
  <si>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</si>
  <si>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</si>
  <si>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</si>
  <si>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</si>
  <si>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</si>
  <si>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</si>
  <si>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</si>
  <si>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</si>
  <si>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</si>
  <si>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</si>
  <si>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</si>
  <si>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</si>
  <si>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</si>
  <si>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</si>
  <si>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</si>
  <si>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</si>
  <si>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</si>
  <si>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</si>
  <si>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</si>
  <si>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</si>
  <si>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</si>
  <si>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</si>
  <si>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</si>
  <si>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</si>
  <si>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</si>
  <si>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</si>
  <si>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</si>
  <si>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</si>
  <si>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</si>
  <si>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</si>
  <si>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</si>
  <si>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</si>
  <si>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</si>
  <si>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</si>
  <si>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</si>
  <si>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</si>
  <si>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</si>
  <si>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</si>
  <si>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</si>
  <si>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</si>
  <si>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</si>
  <si>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</si>
  <si>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</si>
  <si>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</si>
  <si>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</si>
  <si>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</si>
  <si>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</si>
  <si>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</si>
  <si>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</si>
  <si>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</si>
  <si>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</si>
  <si>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</si>
  <si>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</si>
  <si>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</si>
  <si>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</si>
  <si>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</si>
  <si>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</si>
  <si>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</si>
  <si>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</si>
  <si>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</si>
  <si>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</si>
  <si>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</si>
  <si>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</si>
  <si>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</si>
  <si>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</si>
  <si>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</si>
  <si>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</si>
  <si>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</si>
  <si>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</si>
  <si>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</si>
  <si>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</si>
  <si>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</si>
  <si>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</si>
  <si>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</si>
  <si>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</si>
  <si>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</si>
  <si>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</si>
  <si>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</si>
  <si>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</si>
  <si>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</si>
  <si>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</si>
  <si>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</si>
  <si>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</si>
  <si>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</si>
  <si>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</si>
  <si>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</si>
  <si>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</si>
  <si>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</si>
  <si>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</si>
  <si>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</si>
  <si>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</si>
  <si>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</si>
  <si>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</si>
  <si>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</si>
  <si>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</si>
  <si>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</si>
  <si>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</si>
  <si>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</si>
  <si>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</si>
  <si>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</si>
  <si>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</si>
  <si>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</si>
  <si>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</si>
  <si>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</si>
  <si>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</si>
  <si>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</si>
  <si>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</si>
  <si>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</si>
  <si>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</si>
  <si>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</si>
  <si>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</si>
  <si>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</si>
  <si>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</si>
  <si>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</si>
  <si>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</si>
  <si>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</si>
  <si>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</si>
  <si>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</si>
  <si>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</si>
  <si>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</si>
  <si>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</si>
  <si>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</si>
  <si>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</si>
  <si>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</si>
  <si>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</si>
  <si>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</si>
  <si>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</si>
  <si>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</si>
  <si>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</si>
  <si>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</si>
  <si>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</si>
  <si>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</si>
  <si>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</si>
  <si>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</si>
  <si>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</si>
  <si>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</si>
  <si>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</si>
  <si>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</si>
  <si>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</si>
  <si>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</si>
  <si>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</si>
  <si>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</si>
  <si>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</si>
  <si>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</si>
  <si>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</si>
  <si>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</si>
  <si>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</si>
  <si>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</si>
  <si>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</si>
  <si>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</si>
  <si>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</si>
  <si>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</si>
  <si>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</si>
  <si>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</si>
  <si>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</si>
  <si>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</si>
  <si>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</si>
  <si>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</si>
  <si>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</si>
  <si>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</si>
  <si>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</si>
  <si>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</si>
  <si>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</si>
  <si>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</si>
  <si>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</si>
  <si>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</si>
  <si>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</si>
  <si>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</si>
  <si>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</si>
  <si>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</si>
  <si>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</si>
  <si>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</si>
  <si>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</si>
  <si>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</si>
  <si>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</si>
  <si>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</si>
  <si>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</si>
  <si>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</si>
  <si>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</si>
  <si>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</si>
  <si>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</si>
  <si>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</si>
  <si>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</si>
  <si>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</si>
  <si>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</si>
  <si>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</si>
  <si>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</si>
  <si>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</si>
  <si>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</si>
  <si>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</si>
  <si>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</si>
  <si>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</si>
  <si>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</si>
  <si>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</si>
  <si>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</si>
  <si>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</si>
  <si>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</si>
  <si>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</si>
  <si>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</si>
  <si>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</si>
  <si>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</si>
  <si>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</si>
  <si>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</si>
  <si>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</si>
  <si>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</si>
  <si>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</si>
  <si>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</si>
  <si>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</si>
  <si>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</si>
  <si>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</si>
  <si>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</si>
  <si>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</si>
  <si>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</si>
  <si>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</si>
  <si>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</si>
  <si>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</si>
  <si>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</si>
  <si>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</si>
  <si>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</si>
  <si>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</si>
  <si>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</si>
  <si>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</si>
  <si>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</si>
  <si>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</si>
  <si>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</si>
  <si>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</si>
  <si>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</si>
  <si>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</si>
  <si>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</si>
  <si>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</si>
  <si>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</si>
  <si>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</si>
  <si>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</si>
  <si>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</si>
  <si>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</si>
  <si>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</si>
  <si>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</si>
  <si>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</si>
  <si>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</si>
  <si>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</si>
  <si>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</si>
  <si>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</si>
  <si>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</si>
  <si>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</si>
  <si>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</si>
  <si>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</si>
  <si>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</si>
  <si>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</si>
  <si>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</si>
  <si>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</si>
  <si>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</si>
  <si>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</si>
  <si>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</si>
  <si>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</si>
  <si>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</si>
  <si>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</si>
  <si>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</si>
  <si>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</si>
  <si>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</si>
  <si>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</si>
  <si>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</si>
  <si>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</si>
  <si>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</si>
  <si>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</si>
  <si>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</si>
  <si>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</si>
  <si>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</si>
  <si>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</si>
  <si>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</si>
  <si>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</si>
  <si>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</si>
  <si>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</si>
  <si>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</si>
  <si>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</si>
  <si>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</si>
  <si>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</si>
  <si>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</si>
  <si>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</si>
  <si>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</si>
  <si>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</si>
  <si>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</si>
  <si>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</si>
  <si>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</si>
  <si>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</si>
  <si>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</si>
  <si>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</si>
  <si>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</si>
  <si>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</si>
  <si>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</si>
  <si>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</si>
  <si>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</si>
  <si>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</si>
  <si>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</si>
  <si>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</si>
  <si>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</si>
  <si>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</si>
  <si>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</si>
  <si>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</si>
  <si>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</si>
  <si>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</si>
  <si>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</si>
  <si>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</si>
  <si>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</si>
  <si>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</si>
  <si>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</si>
  <si>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</si>
  <si>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</si>
  <si>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</si>
  <si>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</si>
  <si>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</si>
  <si>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</si>
  <si>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</si>
  <si>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</si>
  <si>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</si>
  <si>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</si>
  <si>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</si>
  <si>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</si>
  <si>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</si>
  <si>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</si>
  <si>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</si>
  <si>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</si>
  <si>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</si>
  <si>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</si>
  <si>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</si>
  <si>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</si>
  <si>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</si>
  <si>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</si>
  <si>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</si>
  <si>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</si>
  <si>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</si>
  <si>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</si>
  <si>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</si>
  <si>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</si>
  <si>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</si>
  <si>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</si>
  <si>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</si>
  <si>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</si>
  <si>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</si>
  <si>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</si>
  <si>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</si>
  <si>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</si>
  <si>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</si>
  <si>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</si>
  <si>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</si>
  <si>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</si>
  <si>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</si>
  <si>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</si>
  <si>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</si>
  <si>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</si>
  <si>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</si>
  <si>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</si>
  <si>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</si>
  <si>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</si>
  <si>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</si>
  <si>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</si>
  <si>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</si>
  <si>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</si>
  <si>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</si>
  <si>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</si>
  <si>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</si>
  <si>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</si>
  <si>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</si>
  <si>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</si>
  <si>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</si>
  <si>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</si>
  <si>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</si>
  <si>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</si>
  <si>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</si>
  <si>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</si>
  <si>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</si>
  <si>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</si>
  <si>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</si>
  <si>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</si>
  <si>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</si>
  <si>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</si>
  <si>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</si>
  <si>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</si>
  <si>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</si>
  <si>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</si>
  <si>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</si>
  <si>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</si>
  <si>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</si>
  <si>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</si>
  <si>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</si>
  <si>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</si>
  <si>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</si>
  <si>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</si>
  <si>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</si>
  <si>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</si>
  <si>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</si>
  <si>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</si>
  <si>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</si>
  <si>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</si>
  <si>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</si>
  <si>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</si>
  <si>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</si>
  <si>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</si>
  <si>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</si>
  <si>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</si>
  <si>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</si>
  <si>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</si>
  <si>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</si>
  <si>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</si>
  <si>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</si>
  <si>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</si>
  <si>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</si>
  <si>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</si>
  <si>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</si>
  <si>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</si>
  <si>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</si>
  <si>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</si>
  <si>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</si>
  <si>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</si>
  <si>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</si>
  <si>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</si>
  <si>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</si>
  <si>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</si>
  <si>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</si>
  <si>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</si>
  <si>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</si>
  <si>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</si>
  <si>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</si>
  <si>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</si>
  <si>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</si>
  <si>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</si>
  <si>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</si>
  <si>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</si>
  <si>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</si>
  <si>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</si>
  <si>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</si>
  <si>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</si>
  <si>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</si>
  <si>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</si>
  <si>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</si>
  <si>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</si>
  <si>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</si>
  <si>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</si>
  <si>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</si>
  <si>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</si>
  <si>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</si>
  <si>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</si>
  <si>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</si>
  <si>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</si>
  <si>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</si>
  <si>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</si>
  <si>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</si>
  <si>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</si>
  <si>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</si>
  <si>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</si>
  <si>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</si>
  <si>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</si>
  <si>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</si>
  <si>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</si>
  <si>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</si>
  <si>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</si>
  <si>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</si>
  <si>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</si>
  <si>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</si>
  <si>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</si>
  <si>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</si>
  <si>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</si>
  <si>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</si>
  <si>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</si>
  <si>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</si>
  <si>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</si>
  <si>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</si>
  <si>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</si>
  <si>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</si>
  <si>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</si>
  <si>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</si>
  <si>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</si>
  <si>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</si>
  <si>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</si>
  <si>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</si>
  <si>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</si>
  <si>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</si>
  <si>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</si>
  <si>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</si>
  <si>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</si>
  <si>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</si>
  <si>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</si>
  <si>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</si>
  <si>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</si>
  <si>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</si>
  <si>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</si>
  <si>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</si>
  <si>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</si>
  <si>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</si>
  <si>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</si>
  <si>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</si>
  <si>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</si>
  <si>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</si>
  <si>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</si>
  <si>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</si>
  <si>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</si>
  <si>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</si>
  <si>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</si>
  <si>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</si>
  <si>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</si>
  <si>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</si>
  <si>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</si>
  <si>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</si>
  <si>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</si>
  <si>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</si>
  <si>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</si>
  <si>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</si>
  <si>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</si>
  <si>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</si>
  <si>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</si>
  <si>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</si>
  <si>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</si>
  <si>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</si>
  <si>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</si>
  <si>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</si>
  <si>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</si>
  <si>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</si>
  <si>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</si>
  <si>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</si>
  <si>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</si>
  <si>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</si>
  <si>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</si>
  <si>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</si>
  <si>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</si>
  <si>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</si>
  <si>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</si>
  <si>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</si>
  <si>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</si>
  <si>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</si>
  <si>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</si>
  <si>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</si>
  <si>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</si>
  <si>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</si>
  <si>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</si>
  <si>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</si>
  <si>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</si>
  <si>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</si>
  <si>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</si>
  <si>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</si>
  <si>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</si>
  <si>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</si>
  <si>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</si>
  <si>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</si>
  <si>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</si>
  <si>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</si>
  <si>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</si>
  <si>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</si>
  <si>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</si>
  <si>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</si>
  <si>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</si>
  <si>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</si>
  <si>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</si>
  <si>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</si>
  <si>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</si>
  <si>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</si>
  <si>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</si>
  <si>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</si>
  <si>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</si>
  <si>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</si>
  <si>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</si>
  <si>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</si>
  <si>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</si>
  <si>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</si>
  <si>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</si>
  <si>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</si>
  <si>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</si>
  <si>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</si>
  <si>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</si>
  <si>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</si>
  <si>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</si>
  <si>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</si>
  <si>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</si>
  <si>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</si>
  <si>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</si>
  <si>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</si>
  <si>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</si>
  <si>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</si>
  <si>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</si>
  <si>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</si>
  <si>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</si>
  <si>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</si>
  <si>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</si>
  <si>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</si>
  <si>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</si>
  <si>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</si>
  <si>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</si>
  <si>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</si>
  <si>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</si>
  <si>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</si>
  <si>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</si>
  <si>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</si>
  <si>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</si>
  <si>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</si>
  <si>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</si>
  <si>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</si>
  <si>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</si>
  <si>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</si>
  <si>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</si>
  <si>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</si>
  <si>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</si>
  <si>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</si>
  <si>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</si>
  <si>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</si>
  <si>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</si>
  <si>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</si>
  <si>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</si>
  <si>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</si>
  <si>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</si>
  <si>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</si>
  <si>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</si>
  <si>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</si>
  <si>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</si>
  <si>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</si>
  <si>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</si>
  <si>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</si>
  <si>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</si>
  <si>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</si>
  <si>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</si>
  <si>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</si>
  <si>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</si>
  <si>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</si>
  <si>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</si>
  <si>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</si>
  <si>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</si>
  <si>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</si>
  <si>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</si>
  <si>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</si>
  <si>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</si>
  <si>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</si>
  <si>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</si>
  <si>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</si>
  <si>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</si>
  <si>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</si>
  <si>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</si>
  <si>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</si>
  <si>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</si>
  <si>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</si>
  <si>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</si>
  <si>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</si>
  <si>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</si>
  <si>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</si>
  <si>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</si>
  <si>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</si>
  <si>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</si>
  <si>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</si>
  <si>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</si>
  <si>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</si>
  <si>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</si>
  <si>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</si>
  <si>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</si>
  <si>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</si>
  <si>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</si>
  <si>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</si>
  <si>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</si>
  <si>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</si>
  <si>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</si>
  <si>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</si>
  <si>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</si>
  <si>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</si>
  <si>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</si>
  <si>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</si>
  <si>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</si>
  <si>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</si>
  <si>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</si>
  <si>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</si>
  <si>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</si>
  <si>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</si>
  <si>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</si>
  <si>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</si>
  <si>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</si>
  <si>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</si>
  <si>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</si>
  <si>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</si>
  <si>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</si>
  <si>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</si>
  <si>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</si>
  <si>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</si>
  <si>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</si>
  <si>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</si>
  <si>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</si>
  <si>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</si>
  <si>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</si>
  <si>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</si>
  <si>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</si>
  <si>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</si>
  <si>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</si>
  <si>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</si>
  <si>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</si>
  <si>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</si>
  <si>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</si>
  <si>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</si>
  <si>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</si>
  <si>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</si>
  <si>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</si>
  <si>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</si>
  <si>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</si>
  <si>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</si>
  <si>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</si>
  <si>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</si>
  <si>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</si>
  <si>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</si>
  <si>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</si>
  <si>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</si>
  <si>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</si>
  <si>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</si>
  <si>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</si>
  <si>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</si>
  <si>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</si>
  <si>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</si>
  <si>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</si>
  <si>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</si>
  <si>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</si>
  <si>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</si>
  <si>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</si>
  <si>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</si>
  <si>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</si>
  <si>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</si>
  <si>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</si>
  <si>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</si>
  <si>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</si>
  <si>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</si>
  <si>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</si>
  <si>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</si>
  <si>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</si>
  <si>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</si>
  <si>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</si>
  <si>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</si>
  <si>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</si>
  <si>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</si>
  <si>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</si>
  <si>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</si>
  <si>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</si>
  <si>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</si>
  <si>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</si>
  <si>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</si>
  <si>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</si>
  <si>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</si>
  <si>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</si>
  <si>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</si>
  <si>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</si>
  <si>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</si>
  <si>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</si>
  <si>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</si>
  <si>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</si>
  <si>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</si>
  <si>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</si>
  <si>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</si>
  <si>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</si>
  <si>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</si>
  <si>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</si>
  <si>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</si>
  <si>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</si>
  <si>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</si>
  <si>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</si>
  <si>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</si>
  <si>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</si>
  <si>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</si>
  <si>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</si>
  <si>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</si>
  <si>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</si>
  <si>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</si>
  <si>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</si>
  <si>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</si>
  <si>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</si>
  <si>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</si>
  <si>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</si>
  <si>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</si>
  <si>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</si>
  <si>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</si>
  <si>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</si>
  <si>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</si>
  <si>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</si>
  <si>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</si>
  <si>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</si>
  <si>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</si>
  <si>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</si>
  <si>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</si>
  <si>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</si>
  <si>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</si>
  <si>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</si>
  <si>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</si>
  <si>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</si>
  <si>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</si>
  <si>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</si>
  <si>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</si>
  <si>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</si>
  <si>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</si>
  <si>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</si>
  <si>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</si>
  <si>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</si>
  <si>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</si>
  <si>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</si>
  <si>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</si>
  <si>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</si>
  <si>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</si>
  <si>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</si>
  <si>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</si>
  <si>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</si>
  <si>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</si>
  <si>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</si>
  <si>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</si>
  <si>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</si>
  <si>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</si>
  <si>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</si>
  <si>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</si>
  <si>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</si>
  <si>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</si>
  <si>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</si>
  <si>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</si>
  <si>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</si>
  <si>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</si>
  <si>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</si>
  <si>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</si>
  <si>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</si>
  <si>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</si>
  <si>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</si>
  <si>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</si>
  <si>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</si>
  <si>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</si>
  <si>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</si>
  <si>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</si>
  <si>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</si>
  <si>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</si>
  <si>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</si>
  <si>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</si>
  <si>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</si>
  <si>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</si>
  <si>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</si>
  <si>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</si>
  <si>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</si>
  <si>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</si>
  <si>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</si>
  <si>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</si>
  <si>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</si>
  <si>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</si>
  <si>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</si>
  <si>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</si>
  <si>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</si>
  <si>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</si>
  <si>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</si>
  <si>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</si>
  <si>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</si>
  <si>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</si>
  <si>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</si>
  <si>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</si>
  <si>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</si>
  <si>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</si>
  <si>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</si>
  <si>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</si>
  <si>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</si>
  <si>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</si>
  <si>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</si>
  <si>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</si>
  <si>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</si>
  <si>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</si>
  <si>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</si>
  <si>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</si>
  <si>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</si>
  <si>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</si>
  <si>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</si>
  <si>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</si>
  <si>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</si>
  <si>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</si>
  <si>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</si>
  <si>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</si>
  <si>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</si>
  <si>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</si>
  <si>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</si>
  <si>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</si>
  <si>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</si>
  <si>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</si>
  <si>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</si>
  <si>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</si>
  <si>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</si>
  <si>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</si>
  <si>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</si>
  <si>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</si>
  <si>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</si>
  <si>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</si>
  <si>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</si>
  <si>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</si>
  <si>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</si>
  <si>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</si>
  <si>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</si>
  <si>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</si>
  <si>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</si>
  <si>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</si>
  <si>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</si>
  <si>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</si>
  <si>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</si>
  <si>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</si>
  <si>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</si>
  <si>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</si>
  <si>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</si>
  <si>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</si>
  <si>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</si>
  <si>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</si>
  <si>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</si>
  <si>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</si>
  <si>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</si>
  <si>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</si>
  <si>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</si>
  <si>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</si>
  <si>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</si>
  <si>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</si>
  <si>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</si>
  <si>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</si>
  <si>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</si>
  <si>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</si>
  <si>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</si>
  <si>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</si>
  <si>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</si>
  <si>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</si>
  <si>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</si>
  <si>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</si>
  <si>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</si>
  <si>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</si>
  <si>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</si>
  <si>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</si>
  <si>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</si>
  <si>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</si>
  <si>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</si>
  <si>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</si>
  <si>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</si>
  <si>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</si>
  <si>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</si>
  <si>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</si>
  <si>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</si>
  <si>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</si>
  <si>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</si>
  <si>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</si>
  <si>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</si>
  <si>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</si>
  <si>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</si>
  <si>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</si>
  <si>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</si>
  <si>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</si>
  <si>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</si>
  <si>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</si>
  <si>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</si>
  <si>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</si>
  <si>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</si>
  <si>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</si>
  <si>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</si>
  <si>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</si>
  <si>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</si>
  <si>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</si>
  <si>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</si>
  <si>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</si>
  <si>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</si>
  <si>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</si>
  <si>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</si>
  <si>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</si>
  <si>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</si>
  <si>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</si>
  <si>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</si>
  <si>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</si>
  <si>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</si>
  <si>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</si>
  <si>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</si>
  <si>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</si>
  <si>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</si>
  <si>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</si>
  <si>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</si>
  <si>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</si>
  <si>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</si>
  <si>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</si>
  <si>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</si>
  <si>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</si>
  <si>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</si>
  <si>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</si>
  <si>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</si>
  <si>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</si>
  <si>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</si>
  <si>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</si>
  <si>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</si>
  <si>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</si>
  <si>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</si>
  <si>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</si>
  <si>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</si>
  <si>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</si>
  <si>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</si>
  <si>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</si>
  <si>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</si>
  <si>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</si>
  <si>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</si>
  <si>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</si>
  <si>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</si>
  <si>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</si>
  <si>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</si>
  <si>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</si>
  <si>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</si>
  <si>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</si>
  <si>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</si>
  <si>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</si>
  <si>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</si>
  <si>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</si>
  <si>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</si>
  <si>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</si>
  <si>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</si>
  <si>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</si>
  <si>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</si>
  <si>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</si>
  <si>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</si>
  <si>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</si>
  <si>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</si>
  <si>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</si>
  <si>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</si>
  <si>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</si>
  <si>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</si>
  <si>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</si>
  <si>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</si>
  <si>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</si>
  <si>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</si>
  <si>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</si>
  <si>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</si>
  <si>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</si>
  <si>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</si>
  <si>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</si>
  <si>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</si>
  <si>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</si>
  <si>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</si>
  <si>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</si>
  <si>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</si>
  <si>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</si>
  <si>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</si>
  <si>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</si>
  <si>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</si>
  <si>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</si>
  <si>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</si>
  <si>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</si>
  <si>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</si>
  <si>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</si>
  <si>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</si>
  <si>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</si>
  <si>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</si>
  <si>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</si>
  <si>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</si>
  <si>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</si>
  <si>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</si>
  <si>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</si>
  <si>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</si>
  <si>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</si>
  <si>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</si>
  <si>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</si>
  <si>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</si>
  <si>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</si>
  <si>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</si>
  <si>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</si>
  <si>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</si>
  <si>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</si>
  <si>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</si>
  <si>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</si>
  <si>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</si>
  <si>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</si>
  <si>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</si>
  <si>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</si>
  <si>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</si>
  <si>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</si>
  <si>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</si>
  <si>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</si>
  <si>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</si>
  <si>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</si>
  <si>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</si>
  <si>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</si>
  <si>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</si>
  <si>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</si>
  <si>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</si>
  <si>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</si>
  <si>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</si>
  <si>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</si>
  <si>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</si>
  <si>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</si>
  <si>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</si>
  <si>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</si>
  <si>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</si>
  <si>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</si>
  <si>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</si>
  <si>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</si>
  <si>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</si>
  <si>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</si>
  <si>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</si>
  <si>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</si>
  <si>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</si>
  <si>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</si>
  <si>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</si>
  <si>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</si>
  <si>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</si>
  <si>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</si>
  <si>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</si>
  <si>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</si>
  <si>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</si>
  <si>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</si>
  <si>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</si>
  <si>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</si>
  <si>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</si>
  <si>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</si>
  <si>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</si>
  <si>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</si>
  <si>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</si>
  <si>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</si>
  <si>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</si>
  <si>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</si>
  <si>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</si>
  <si>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</si>
  <si>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</si>
  <si>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</si>
  <si>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</si>
  <si>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</si>
  <si>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</si>
  <si>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</si>
  <si>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</si>
  <si>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</si>
  <si>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</si>
  <si>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</si>
  <si>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</si>
  <si>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</si>
  <si>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</si>
  <si>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</si>
  <si>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</si>
  <si>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</si>
  <si>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</si>
  <si>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</si>
  <si>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</si>
  <si>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</si>
  <si>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</si>
  <si>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</si>
  <si>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</si>
  <si>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</si>
  <si>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</si>
  <si>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</si>
  <si>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</si>
  <si>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</si>
  <si>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</si>
  <si>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</si>
  <si>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</si>
  <si>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</si>
  <si>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</si>
  <si>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</si>
  <si>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</si>
  <si>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</si>
  <si>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</si>
  <si>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</si>
  <si>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</si>
  <si>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</si>
  <si>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</si>
  <si>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</si>
  <si>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</si>
  <si>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</si>
  <si>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</si>
  <si>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</si>
  <si>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</si>
  <si>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</si>
  <si>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</si>
  <si>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</si>
  <si>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</si>
  <si>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</si>
  <si>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</si>
  <si>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</si>
  <si>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</si>
  <si>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</si>
  <si>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</si>
  <si>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</si>
  <si>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</si>
  <si>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</si>
  <si>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</si>
  <si>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</si>
  <si>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</si>
  <si>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</si>
  <si>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</si>
  <si>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</si>
  <si>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</si>
  <si>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</si>
  <si>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</si>
  <si>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</si>
  <si>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</si>
  <si>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</si>
  <si>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</si>
  <si>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</si>
  <si>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</si>
  <si>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</si>
  <si>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</si>
  <si>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</si>
  <si>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</si>
  <si>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</si>
  <si>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</si>
  <si>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</si>
  <si>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</si>
  <si>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</si>
  <si>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</si>
  <si>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</si>
  <si>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</si>
  <si>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</si>
  <si>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</si>
  <si>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</si>
  <si>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</si>
  <si>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</si>
  <si>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</si>
  <si>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</si>
  <si>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</si>
  <si>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</si>
  <si>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</si>
  <si>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</si>
  <si>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</si>
  <si>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</si>
  <si>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</si>
  <si>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</si>
  <si>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</si>
  <si>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</si>
  <si>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</si>
  <si>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</si>
  <si>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</si>
  <si>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</si>
  <si>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</si>
  <si>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</si>
  <si>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</si>
  <si>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</si>
  <si>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</si>
  <si>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</si>
  <si>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</si>
  <si>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</si>
  <si>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</si>
  <si>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</si>
  <si>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</si>
  <si>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</si>
  <si>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</si>
  <si>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</si>
  <si>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</si>
  <si>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</si>
  <si>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</si>
  <si>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</si>
  <si>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</si>
  <si>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</si>
  <si>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</si>
  <si>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</si>
  <si>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</si>
  <si>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</si>
  <si>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</si>
  <si>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</si>
  <si>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</si>
  <si>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</si>
  <si>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</si>
  <si>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</si>
  <si>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</si>
  <si>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</si>
  <si>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</si>
  <si>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</si>
  <si>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</si>
  <si>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</si>
  <si>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</si>
  <si>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</si>
  <si>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</si>
  <si>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</si>
  <si>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</si>
  <si>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</si>
  <si>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</si>
  <si>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</si>
  <si>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</si>
  <si>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</si>
  <si>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</si>
  <si>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</si>
  <si>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</si>
  <si>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</si>
  <si>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</si>
  <si>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</si>
  <si>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</si>
  <si>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</si>
  <si>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</si>
  <si>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</si>
  <si>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</si>
  <si>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</si>
  <si>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</si>
  <si>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</si>
  <si>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</si>
  <si>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</si>
  <si>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</si>
  <si>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</si>
  <si>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</si>
  <si>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</si>
  <si>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</si>
  <si>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</si>
  <si>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</si>
  <si>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</si>
  <si>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</si>
  <si>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</si>
  <si>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</si>
  <si>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</si>
  <si>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</si>
  <si>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</si>
  <si>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</si>
  <si>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</si>
  <si>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</si>
  <si>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</si>
  <si>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</si>
  <si>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</si>
  <si>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</si>
  <si>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</si>
  <si>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</si>
  <si>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</si>
  <si>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</si>
  <si>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</si>
  <si>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</si>
  <si>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</si>
  <si>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</si>
  <si>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</si>
  <si>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</si>
  <si>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</si>
  <si>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</si>
  <si>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</si>
  <si>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</si>
  <si>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</si>
  <si>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</si>
  <si>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</si>
  <si>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</si>
  <si>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</si>
  <si>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</si>
  <si>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</si>
  <si>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</si>
  <si>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</si>
  <si>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</si>
  <si>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</si>
  <si>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</si>
  <si>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</si>
  <si>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</si>
  <si>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</si>
  <si>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</si>
  <si>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</si>
  <si>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</si>
  <si>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</si>
  <si>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</si>
  <si>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</si>
  <si>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</si>
  <si>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</si>
  <si>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</si>
  <si>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</si>
  <si>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</si>
  <si>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</si>
  <si>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</si>
  <si>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</si>
  <si>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</si>
  <si>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</si>
  <si>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</si>
  <si>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</si>
  <si>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</si>
  <si>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</si>
  <si>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</si>
  <si>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</si>
  <si>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</si>
  <si>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</si>
  <si>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</si>
  <si>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</si>
  <si>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</si>
  <si>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</si>
  <si>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</si>
  <si>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</si>
  <si>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</si>
  <si>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</si>
  <si>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</si>
  <si>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</si>
  <si>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</si>
  <si>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</si>
  <si>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</si>
  <si>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</si>
  <si>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</si>
  <si>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</si>
  <si>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</si>
  <si>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</si>
  <si>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</si>
  <si>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</si>
  <si>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</si>
  <si>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</si>
  <si>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</si>
  <si>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</si>
  <si>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</si>
  <si>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</si>
  <si>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</si>
  <si>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</si>
  <si>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</si>
  <si>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</si>
  <si>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</si>
  <si>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</si>
  <si>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</si>
  <si>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</si>
  <si>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</si>
  <si>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</si>
  <si>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</si>
  <si>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</si>
  <si>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</si>
  <si>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</si>
  <si>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</si>
  <si>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</si>
  <si>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</si>
  <si>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</si>
  <si>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</si>
  <si>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</si>
  <si>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</si>
  <si>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</si>
  <si>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</si>
  <si>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</si>
  <si>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</si>
  <si>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</si>
  <si>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</si>
  <si>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</si>
  <si>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</si>
  <si>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</si>
  <si>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</si>
  <si>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</si>
  <si>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</si>
  <si>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</si>
  <si>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</si>
  <si>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</si>
  <si>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</si>
  <si>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</si>
  <si>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</si>
  <si>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</si>
  <si>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</si>
  <si>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</si>
  <si>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</si>
  <si>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</si>
  <si>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</si>
  <si>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</si>
  <si>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</si>
  <si>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</si>
  <si>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</si>
  <si>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</si>
  <si>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</si>
  <si>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</si>
  <si>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</si>
  <si>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</si>
  <si>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</si>
  <si>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</si>
  <si>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</si>
  <si>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</si>
  <si>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</si>
  <si>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</si>
  <si>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</si>
  <si>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</si>
  <si>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</si>
  <si>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</si>
  <si>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</si>
  <si>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</si>
  <si>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</si>
  <si>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</si>
  <si>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</si>
  <si>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</si>
  <si>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</si>
  <si>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</si>
  <si>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</si>
  <si>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</si>
  <si>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</si>
  <si>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</si>
  <si>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</si>
  <si>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</si>
  <si>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</si>
  <si>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</si>
  <si>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</si>
  <si>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</si>
  <si>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</si>
  <si>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</si>
  <si>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</si>
  <si>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</si>
  <si>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</si>
  <si>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</si>
  <si>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</si>
  <si>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</si>
  <si>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</si>
  <si>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</si>
  <si>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</si>
  <si>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</si>
  <si>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</si>
  <si>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</si>
  <si>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</si>
  <si>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</si>
  <si>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</si>
  <si>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</si>
  <si>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</si>
  <si>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</si>
  <si>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</si>
  <si>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</si>
  <si>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</si>
  <si>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</si>
  <si>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</si>
  <si>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</si>
  <si>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</si>
  <si>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</si>
  <si>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</si>
  <si>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</si>
  <si>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</si>
  <si>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</si>
  <si>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</si>
  <si>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</si>
  <si>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</si>
  <si>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</si>
  <si>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</si>
  <si>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</si>
  <si>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</si>
  <si>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</si>
  <si>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</si>
  <si>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</si>
  <si>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</si>
  <si>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</si>
  <si>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</si>
  <si>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</si>
  <si>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</si>
  <si>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</si>
  <si>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</si>
  <si>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</si>
  <si>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</si>
  <si>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</si>
  <si>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</si>
  <si>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</si>
  <si>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</si>
  <si>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</si>
  <si>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</si>
  <si>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</si>
  <si>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</si>
  <si>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</si>
  <si>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</si>
  <si>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</si>
  <si>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</si>
  <si>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</si>
  <si>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</si>
  <si>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</si>
  <si>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</si>
  <si>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</si>
  <si>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</si>
  <si>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</si>
  <si>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</si>
  <si>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</si>
  <si>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</si>
  <si>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</si>
  <si>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</si>
  <si>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</si>
  <si>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</si>
  <si>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</si>
  <si>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</si>
  <si>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</si>
  <si>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</si>
  <si>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</si>
  <si>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</si>
  <si>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</si>
  <si>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</si>
  <si>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</si>
  <si>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</si>
  <si>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</si>
  <si>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</si>
  <si>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</si>
  <si>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</si>
  <si>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</si>
  <si>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</si>
  <si>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</si>
  <si>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</si>
  <si>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</si>
  <si>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</si>
  <si>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</si>
  <si>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</si>
  <si>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</si>
  <si>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</si>
  <si>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</si>
  <si>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</si>
  <si>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</si>
  <si>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</si>
  <si>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</si>
  <si>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</si>
  <si>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</si>
  <si>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</si>
  <si>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</si>
  <si>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</si>
  <si>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</si>
  <si>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</si>
  <si>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</si>
  <si>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</si>
  <si>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</si>
  <si>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</si>
  <si>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</si>
  <si>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</si>
  <si>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</si>
  <si>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</si>
  <si>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</si>
  <si>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</si>
  <si>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</si>
  <si>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</si>
  <si>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</si>
  <si>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</si>
  <si>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</si>
  <si>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</si>
  <si>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</si>
  <si>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</si>
  <si>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</si>
  <si>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</si>
  <si>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</si>
  <si>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</si>
  <si>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</si>
  <si>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</si>
  <si>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</si>
  <si>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</si>
  <si>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</si>
  <si>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</si>
  <si>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</si>
  <si>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</si>
  <si>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</si>
  <si>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</si>
  <si>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</si>
  <si>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</si>
  <si>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</si>
  <si>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</si>
  <si>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</si>
  <si>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</si>
  <si>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</si>
  <si>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</si>
  <si>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</si>
  <si>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</si>
  <si>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</si>
  <si>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</si>
  <si>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</si>
  <si>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</si>
  <si>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</si>
  <si>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</si>
  <si>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</si>
  <si>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</si>
  <si>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</si>
  <si>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</si>
  <si>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</si>
  <si>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</si>
  <si>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</si>
  <si>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</si>
  <si>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</si>
  <si>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</si>
  <si>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</si>
  <si>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</si>
  <si>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</si>
  <si>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</si>
  <si>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</si>
  <si>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</si>
  <si>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</si>
  <si>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</si>
  <si>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</si>
  <si>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</si>
  <si>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</si>
  <si>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</si>
  <si>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</si>
  <si>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</si>
  <si>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</si>
  <si>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</si>
  <si>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</si>
  <si>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</si>
  <si>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</si>
  <si>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</si>
  <si>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</si>
  <si>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</si>
  <si>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</si>
  <si>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</si>
  <si>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</si>
  <si>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</si>
  <si>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</si>
  <si>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</si>
  <si>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</si>
  <si>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</si>
  <si>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</si>
  <si>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</si>
  <si>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</si>
  <si>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</si>
  <si>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</si>
  <si>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</si>
  <si>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</si>
  <si>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</si>
  <si>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</si>
  <si>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</si>
  <si>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</si>
  <si>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</si>
  <si>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</si>
  <si>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</si>
  <si>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</si>
  <si>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</si>
  <si>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</si>
  <si>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</si>
  <si>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</si>
  <si>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</si>
  <si>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</si>
  <si>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</si>
  <si>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</si>
  <si>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</si>
  <si>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</si>
  <si>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</si>
  <si>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</si>
  <si>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</si>
  <si>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</si>
  <si>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</si>
  <si>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</si>
  <si>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</si>
  <si>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</si>
  <si>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</si>
  <si>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</si>
  <si>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</si>
  <si>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</si>
  <si>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</si>
  <si>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</si>
  <si>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</si>
  <si>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</si>
  <si>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</si>
  <si>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</si>
  <si>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</si>
  <si>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</si>
  <si>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</si>
  <si>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</si>
  <si>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</si>
  <si>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</si>
  <si>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</si>
  <si>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</si>
  <si>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</si>
  <si>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</si>
  <si>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</si>
  <si>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</si>
  <si>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</si>
  <si>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</si>
  <si>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</si>
  <si>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</si>
  <si>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</si>
  <si>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</si>
  <si>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</si>
  <si>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</si>
  <si>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</si>
  <si>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</si>
  <si>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</si>
  <si>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</si>
  <si>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</si>
  <si>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</si>
  <si>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</si>
  <si>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</si>
  <si>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</si>
  <si>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</si>
  <si>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</si>
  <si>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</si>
  <si>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</si>
  <si>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</si>
  <si>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</si>
  <si>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</si>
  <si>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</si>
  <si>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</si>
  <si>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</si>
  <si>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</si>
  <si>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</si>
  <si>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</si>
  <si>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</si>
  <si>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</si>
  <si>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</si>
  <si>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</si>
  <si>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</si>
  <si>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</si>
  <si>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</si>
  <si>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</si>
  <si>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</si>
  <si>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</si>
  <si>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</si>
  <si>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</si>
  <si>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</si>
  <si>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</si>
  <si>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</si>
  <si>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</si>
  <si>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</si>
  <si>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</si>
  <si>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</si>
  <si>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</si>
  <si>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</si>
  <si>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</si>
  <si>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</si>
  <si>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</si>
  <si>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</si>
  <si>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</si>
  <si>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</si>
  <si>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</si>
  <si>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</si>
  <si>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</si>
  <si>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</si>
  <si>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</si>
  <si>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</si>
  <si>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</si>
  <si>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</si>
  <si>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</si>
  <si>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</si>
  <si>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</si>
  <si>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</si>
  <si>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</si>
  <si>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</si>
  <si>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</si>
  <si>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</si>
  <si>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</si>
  <si>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</si>
  <si>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</si>
  <si>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</si>
  <si>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</si>
  <si>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</si>
  <si>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</si>
  <si>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</si>
  <si>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</si>
  <si>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</si>
  <si>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</si>
  <si>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</si>
  <si>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</si>
  <si>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</si>
  <si>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</si>
  <si>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</si>
  <si>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</si>
  <si>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</si>
  <si>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</si>
  <si>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</si>
  <si>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</si>
  <si>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</si>
  <si>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</si>
  <si>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</si>
  <si>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</si>
  <si>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</si>
  <si>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</si>
  <si>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</si>
  <si>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</si>
  <si>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</si>
  <si>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</si>
  <si>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</si>
  <si>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</si>
  <si>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</si>
  <si>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</si>
  <si>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</si>
  <si>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</si>
  <si>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</si>
  <si>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</si>
  <si>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</si>
  <si>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</si>
  <si>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</si>
  <si>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</si>
  <si>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</si>
  <si>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</si>
  <si>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</si>
  <si>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</si>
  <si>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</si>
  <si>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</si>
  <si>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</si>
  <si>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</si>
  <si>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</si>
  <si>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</si>
  <si>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</si>
  <si>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</si>
  <si>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</si>
  <si>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</si>
  <si>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</si>
  <si>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</si>
  <si>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</si>
  <si>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</si>
  <si>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</si>
  <si>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</si>
  <si>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</si>
  <si>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</si>
  <si>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</si>
  <si>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</si>
  <si>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</si>
  <si>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</si>
  <si>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</si>
  <si>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</si>
  <si>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</si>
  <si>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</si>
  <si>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</si>
  <si>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</si>
  <si>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</si>
  <si>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</si>
  <si>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</si>
  <si>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</si>
  <si>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</si>
  <si>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</si>
  <si>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</si>
  <si>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</si>
  <si>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</si>
  <si>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</si>
  <si>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</si>
  <si>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</si>
  <si>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</si>
  <si>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</si>
  <si>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</si>
  <si>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</si>
  <si>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</si>
  <si>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</si>
  <si>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</si>
  <si>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</si>
  <si>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</si>
  <si>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</si>
  <si>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</si>
  <si>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</si>
  <si>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</si>
  <si>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</si>
  <si>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</si>
  <si>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</si>
  <si>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</si>
  <si>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</si>
  <si>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</si>
  <si>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</si>
  <si>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</si>
  <si>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</si>
  <si>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</si>
  <si>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</si>
  <si>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</si>
  <si>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</si>
  <si>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</si>
  <si>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</si>
  <si>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</si>
  <si>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</si>
  <si>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</si>
  <si>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</si>
  <si>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</si>
  <si>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</si>
  <si>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</si>
  <si>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</si>
  <si>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</si>
  <si>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</si>
  <si>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</si>
  <si>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</si>
  <si>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</si>
  <si>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</si>
  <si>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</si>
  <si>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</si>
  <si>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</si>
  <si>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</si>
  <si>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</si>
  <si>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</si>
  <si>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</si>
  <si>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</si>
  <si>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</si>
  <si>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</si>
  <si>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</si>
  <si>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</si>
  <si>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</si>
  <si>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</si>
  <si>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</si>
  <si>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</si>
  <si>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</si>
  <si>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</si>
  <si>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</si>
  <si>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</si>
  <si>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</si>
  <si>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</si>
  <si>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</si>
  <si>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</si>
  <si>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</si>
  <si>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</si>
  <si>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</si>
  <si>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</si>
  <si>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</si>
  <si>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</si>
  <si>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</si>
  <si>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</si>
  <si>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</si>
  <si>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</si>
  <si>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</si>
  <si>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</si>
  <si>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</si>
  <si>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</si>
  <si>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</si>
  <si>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</si>
  <si>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</si>
  <si>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</si>
  <si>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</si>
  <si>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</si>
  <si>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</si>
  <si>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</si>
  <si>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</si>
  <si>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</si>
  <si>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</si>
  <si>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</si>
  <si>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</si>
  <si>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</si>
  <si>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</si>
  <si>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</si>
  <si>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</si>
  <si>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</si>
  <si>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</si>
  <si>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</si>
  <si>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</si>
  <si>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</si>
  <si>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</si>
  <si>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</si>
  <si>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</si>
  <si>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</si>
  <si>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</si>
  <si>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</si>
  <si>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</si>
  <si>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</si>
  <si>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</si>
  <si>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</si>
  <si>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</si>
  <si>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</si>
  <si>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</si>
  <si>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</si>
  <si>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</si>
  <si>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</si>
  <si>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</si>
  <si>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</si>
  <si>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</si>
  <si>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</si>
  <si>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</si>
  <si>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</si>
  <si>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</si>
  <si>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</si>
  <si>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</si>
  <si>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</si>
  <si>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</si>
  <si>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</si>
  <si>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</si>
  <si>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</si>
  <si>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</si>
  <si>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</si>
  <si>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</si>
  <si>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</si>
  <si>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</si>
  <si>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</si>
  <si>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</si>
  <si>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</si>
  <si>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</si>
  <si>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</si>
  <si>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</si>
  <si>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</si>
  <si>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</si>
  <si>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</si>
  <si>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</si>
  <si>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</si>
  <si>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</si>
  <si>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</si>
  <si>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</si>
  <si>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</si>
  <si>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</si>
  <si>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</si>
  <si>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</si>
  <si>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</si>
  <si>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</si>
  <si>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</si>
  <si>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</si>
  <si>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</si>
  <si>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</si>
  <si>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</si>
  <si>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</si>
  <si>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</si>
  <si>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</si>
  <si>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</si>
  <si>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</si>
  <si>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</si>
  <si>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</si>
  <si>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</si>
  <si>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</si>
  <si>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</si>
  <si>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</si>
  <si>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</si>
  <si>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</si>
  <si>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</si>
  <si>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</si>
  <si>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</si>
  <si>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</si>
  <si>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</si>
  <si>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</si>
  <si>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</si>
  <si>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</si>
  <si>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</si>
  <si>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</si>
  <si>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</si>
  <si>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</si>
  <si>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</si>
  <si>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</si>
  <si>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</si>
  <si>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</si>
  <si>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</si>
  <si>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</si>
  <si>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</si>
  <si>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</si>
  <si>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</si>
  <si>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</si>
  <si>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</si>
  <si>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</si>
  <si>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</si>
  <si>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</si>
  <si>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</si>
  <si>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</si>
  <si>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</si>
  <si>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</si>
  <si>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</si>
  <si>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</si>
  <si>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</si>
  <si>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</si>
  <si>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</si>
  <si>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</si>
  <si>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</si>
  <si>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</si>
  <si>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</si>
  <si>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</si>
  <si>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</si>
  <si>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</si>
  <si>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</si>
  <si>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</si>
  <si>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</si>
  <si>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</si>
  <si>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</si>
  <si>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</si>
  <si>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</si>
  <si>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</si>
  <si>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</si>
  <si>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</si>
  <si>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</si>
  <si>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</si>
  <si>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</si>
  <si>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</si>
  <si>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</si>
  <si>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</si>
  <si>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</si>
  <si>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</si>
  <si>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</si>
  <si>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</si>
  <si>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</si>
  <si>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</si>
  <si>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</si>
  <si>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</si>
  <si>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</si>
  <si>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</si>
  <si>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</si>
  <si>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</si>
  <si>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</si>
  <si>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</si>
  <si>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</si>
  <si>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</si>
  <si>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</si>
  <si>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</si>
  <si>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</si>
  <si>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</si>
  <si>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</si>
  <si>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</si>
  <si>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</si>
  <si>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</si>
  <si>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</si>
  <si>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</si>
  <si>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</si>
  <si>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</si>
  <si>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</si>
  <si>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</si>
  <si>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</si>
  <si>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</si>
  <si>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</si>
  <si>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</si>
  <si>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</si>
  <si>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</si>
  <si>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</si>
  <si>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</si>
  <si>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</si>
  <si>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</si>
  <si>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</si>
  <si>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</si>
  <si>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</si>
  <si>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</si>
  <si>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</si>
  <si>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</si>
  <si>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</si>
  <si>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</si>
  <si>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</si>
  <si>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</si>
  <si>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</si>
  <si>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</si>
  <si>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</si>
  <si>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</si>
  <si>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</si>
  <si>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</si>
  <si>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</si>
  <si>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</si>
  <si>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</si>
  <si>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</si>
  <si>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</si>
  <si>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</si>
  <si>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</si>
  <si>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</si>
  <si>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</si>
  <si>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</si>
  <si>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</si>
  <si>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</si>
  <si>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</si>
  <si>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</si>
  <si>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</si>
  <si>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</si>
  <si>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</si>
  <si>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</si>
  <si>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</si>
  <si>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</si>
  <si>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</si>
  <si>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</si>
  <si>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</si>
  <si>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</si>
  <si>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</si>
  <si>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</si>
  <si>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</si>
  <si>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</si>
  <si>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</si>
  <si>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</si>
  <si>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</si>
  <si>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</si>
  <si>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</si>
  <si>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</si>
  <si>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</si>
  <si>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</si>
  <si>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</si>
  <si>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</si>
  <si>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</si>
  <si>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</si>
  <si>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</si>
  <si>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</si>
  <si>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</si>
  <si>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</si>
  <si>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</si>
  <si>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</si>
  <si>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</si>
  <si>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</si>
  <si>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</si>
  <si>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</si>
  <si>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</si>
  <si>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</si>
  <si>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</si>
  <si>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</si>
  <si>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</si>
  <si>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</si>
  <si>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</si>
  <si>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</si>
  <si>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</si>
  <si>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</si>
  <si>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</si>
  <si>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</si>
  <si>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</si>
  <si>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</si>
  <si>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</si>
  <si>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</si>
  <si>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</si>
  <si>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</si>
  <si>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</si>
  <si>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</si>
  <si>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</si>
  <si>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</si>
  <si>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</si>
  <si>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</si>
  <si>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</si>
  <si>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</si>
  <si>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</si>
  <si>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</si>
  <si>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</si>
  <si>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</si>
  <si>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</si>
  <si>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</si>
  <si>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</si>
  <si>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</si>
  <si>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</si>
  <si>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</si>
  <si>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</si>
  <si>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</si>
  <si>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</si>
  <si>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</si>
  <si>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</si>
  <si>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</si>
  <si>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</si>
  <si>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</si>
  <si>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</si>
  <si>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</si>
  <si>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</si>
  <si>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</si>
  <si>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</si>
  <si>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</si>
  <si>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</si>
  <si>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</si>
  <si>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</si>
  <si>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</si>
  <si>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</si>
  <si>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</si>
  <si>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</si>
  <si>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</si>
  <si>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</si>
  <si>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</si>
  <si>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</si>
  <si>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</si>
  <si>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</si>
  <si>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</si>
  <si>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</si>
  <si>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</si>
  <si>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</si>
  <si>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</si>
  <si>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</si>
  <si>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</si>
  <si>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</si>
  <si>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</si>
  <si>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</si>
  <si>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</si>
  <si>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</si>
  <si>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</si>
  <si>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</si>
  <si>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</si>
  <si>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</si>
  <si>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</si>
  <si>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</si>
  <si>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</si>
  <si>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</si>
  <si>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</si>
  <si>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</si>
  <si>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</si>
  <si>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</si>
  <si>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</si>
  <si>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</si>
  <si>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</si>
  <si>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</si>
  <si>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</si>
  <si>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</si>
  <si>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</si>
  <si>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</si>
  <si>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</si>
  <si>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</si>
  <si>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</si>
  <si>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</si>
  <si>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</si>
  <si>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</si>
  <si>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</si>
  <si>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</si>
  <si>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</si>
  <si>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</si>
  <si>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</si>
  <si>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</si>
  <si>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</si>
  <si>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</si>
  <si>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</si>
  <si>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</si>
  <si>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</si>
  <si>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</si>
  <si>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</si>
  <si>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</si>
  <si>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</si>
  <si>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</si>
  <si>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</si>
  <si>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</si>
  <si>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</si>
  <si>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</si>
  <si>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</si>
  <si>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</si>
  <si>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</si>
  <si>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</si>
  <si>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</si>
  <si>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</si>
  <si>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</si>
  <si>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</si>
  <si>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</si>
  <si>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</si>
  <si>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</si>
  <si>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</si>
  <si>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</si>
  <si>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</si>
  <si>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</si>
  <si>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</si>
  <si>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</si>
  <si>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</si>
  <si>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</si>
  <si>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</si>
  <si>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</si>
  <si>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</si>
  <si>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</si>
  <si>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</si>
  <si>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</si>
  <si>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</si>
  <si>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</si>
  <si>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</si>
  <si>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</si>
  <si>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</si>
  <si>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</si>
  <si>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</si>
  <si>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</si>
  <si>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</si>
  <si>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</si>
  <si>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</si>
  <si>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</si>
  <si>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</si>
  <si>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</si>
  <si>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</si>
  <si>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</si>
  <si>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</si>
  <si>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</si>
  <si>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</si>
  <si>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</si>
  <si>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</si>
  <si>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</si>
  <si>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</si>
  <si>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</si>
  <si>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</si>
  <si>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</si>
  <si>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</si>
  <si>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</si>
  <si>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</si>
  <si>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</si>
  <si>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</si>
  <si>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</si>
  <si>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</si>
  <si>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</si>
  <si>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</si>
  <si>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</si>
  <si>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</si>
  <si>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</si>
  <si>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</si>
  <si>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</si>
  <si>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</si>
  <si>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</si>
  <si>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</si>
  <si>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</si>
  <si>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</si>
  <si>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</si>
  <si>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</si>
  <si>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</si>
  <si>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</si>
  <si>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</si>
  <si>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</si>
  <si>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</si>
  <si>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</si>
  <si>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</si>
  <si>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</si>
  <si>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</si>
  <si>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</si>
  <si>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</si>
  <si>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</si>
  <si>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</si>
  <si>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</si>
  <si>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</si>
  <si>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</si>
  <si>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</si>
  <si>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</si>
  <si>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</si>
  <si>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</si>
  <si>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</si>
  <si>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</si>
  <si>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</si>
  <si>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</si>
  <si>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</si>
  <si>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</si>
  <si>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</si>
  <si>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</si>
  <si>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</si>
  <si>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</si>
  <si>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</si>
  <si>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</si>
  <si>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</si>
  <si>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</si>
  <si>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</si>
  <si>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</si>
  <si>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</si>
  <si>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</si>
  <si>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</si>
  <si>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</si>
  <si>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</si>
  <si>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</si>
  <si>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</si>
  <si>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</si>
  <si>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</si>
  <si>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</si>
  <si>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</si>
  <si>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</si>
  <si>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</si>
  <si>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</si>
  <si>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</si>
  <si>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</si>
  <si>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</si>
  <si>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</si>
  <si>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</si>
  <si>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</si>
  <si>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</si>
  <si>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</si>
  <si>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</si>
  <si>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</si>
  <si>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</si>
  <si>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</si>
  <si>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</si>
  <si>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</si>
  <si>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</si>
  <si>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</si>
  <si>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</si>
  <si>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</si>
  <si>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</si>
  <si>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</si>
  <si>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</si>
  <si>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</si>
  <si>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</si>
  <si>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</si>
  <si>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</si>
  <si>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</si>
  <si>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</si>
  <si>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</si>
  <si>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</si>
  <si>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</si>
  <si>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</si>
  <si>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</si>
  <si>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</si>
  <si>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</si>
  <si>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</si>
  <si>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</si>
  <si>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</si>
  <si>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</si>
  <si>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</si>
  <si>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</si>
  <si>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</si>
  <si>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</si>
  <si>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</si>
  <si>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</si>
  <si>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</si>
  <si>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</si>
  <si>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</si>
  <si>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</si>
  <si>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</si>
  <si>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</si>
  <si>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</si>
  <si>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</si>
  <si>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</si>
  <si>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</si>
  <si>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</si>
  <si>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</si>
  <si>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</si>
  <si>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</si>
  <si>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</si>
  <si>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</si>
  <si>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</si>
  <si>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</si>
  <si>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</si>
  <si>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</si>
  <si>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</si>
  <si>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</si>
  <si>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</si>
  <si>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</si>
  <si>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</si>
  <si>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</si>
  <si>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</si>
  <si>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</si>
  <si>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</si>
  <si>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</si>
  <si>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</si>
  <si>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</si>
  <si>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</si>
  <si>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</si>
  <si>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</si>
  <si>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</si>
  <si>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</si>
  <si>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</si>
  <si>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</si>
  <si>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</si>
  <si>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</si>
  <si>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</si>
  <si>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</si>
  <si>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</si>
  <si>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</si>
  <si>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</si>
  <si>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</si>
  <si>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</si>
  <si>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</si>
  <si>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</si>
  <si>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</si>
  <si>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</si>
  <si>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</si>
  <si>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</si>
  <si>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</si>
  <si>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</si>
  <si>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</si>
  <si>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</si>
  <si>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</si>
  <si>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</si>
  <si>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</si>
  <si>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</si>
  <si>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</si>
  <si>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</si>
  <si>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</si>
  <si>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</si>
  <si>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</si>
  <si>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</si>
  <si>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</si>
  <si>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</si>
  <si>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</si>
  <si>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</si>
  <si>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</si>
  <si>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</si>
  <si>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</si>
  <si>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</si>
  <si>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</si>
  <si>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</si>
  <si>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</si>
  <si>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</si>
  <si>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</si>
  <si>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</si>
  <si>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</si>
  <si>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</si>
  <si>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</si>
  <si>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</si>
  <si>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</si>
  <si>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</si>
  <si>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</si>
  <si>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</si>
  <si>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</si>
  <si>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</si>
  <si>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</si>
  <si>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</si>
  <si>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</si>
  <si>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</si>
  <si>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</si>
  <si>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</si>
  <si>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</si>
  <si>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</si>
  <si>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</si>
  <si>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</si>
  <si>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</si>
  <si>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</si>
  <si>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</si>
  <si>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</si>
  <si>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</si>
  <si>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</si>
  <si>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</si>
  <si>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</si>
  <si>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</si>
  <si>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</si>
  <si>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</si>
  <si>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</si>
  <si>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</si>
  <si>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</si>
  <si>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</si>
  <si>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</si>
  <si>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</si>
  <si>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</si>
  <si>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</si>
  <si>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</si>
  <si>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</si>
  <si>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</si>
  <si>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</si>
  <si>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</si>
  <si>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</si>
  <si>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</si>
  <si>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</si>
  <si>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</si>
  <si>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</si>
  <si>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</si>
  <si>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</si>
  <si>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</si>
  <si>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</si>
  <si>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</si>
  <si>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</si>
  <si>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</si>
  <si>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</si>
  <si>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</si>
  <si>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</si>
  <si>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</si>
  <si>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</si>
  <si>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</si>
  <si>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</si>
  <si>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</si>
  <si>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</si>
  <si>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</si>
  <si>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</si>
  <si>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</si>
  <si>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</si>
  <si>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</si>
  <si>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</si>
  <si>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</si>
  <si>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</si>
  <si>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</si>
  <si>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</si>
  <si>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</si>
  <si>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</si>
  <si>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</si>
  <si>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</si>
  <si>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</si>
  <si>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</si>
  <si>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</si>
  <si>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</si>
  <si>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</si>
  <si>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</si>
  <si>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</si>
  <si>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</si>
  <si>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</si>
  <si>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</si>
  <si>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</si>
  <si>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</si>
  <si>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</si>
  <si>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</si>
  <si>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</si>
  <si>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</si>
  <si>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</si>
  <si>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</si>
  <si>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</si>
  <si>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</si>
  <si>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</si>
  <si>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</si>
  <si>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</si>
  <si>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</si>
  <si>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</si>
  <si>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</si>
  <si>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</si>
  <si>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</si>
  <si>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</si>
  <si>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</si>
  <si>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</si>
  <si>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</si>
  <si>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</si>
  <si>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</si>
  <si>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</si>
  <si>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</si>
  <si>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</si>
  <si>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</si>
  <si>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</si>
  <si>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</si>
  <si>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</si>
  <si>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</si>
  <si>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</si>
  <si>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</si>
  <si>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</si>
  <si>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</si>
  <si>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</si>
  <si>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</si>
  <si>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</si>
  <si>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</si>
  <si>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</si>
  <si>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</si>
  <si>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</si>
  <si>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</si>
  <si>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</si>
  <si>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</si>
  <si>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</si>
  <si>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</si>
  <si>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</si>
  <si>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</si>
  <si>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</si>
  <si>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</si>
  <si>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</si>
  <si>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</si>
  <si>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</si>
  <si>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</si>
  <si>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</si>
  <si>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</si>
  <si>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</si>
  <si>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</si>
  <si>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</si>
  <si>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</si>
  <si>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</si>
  <si>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</si>
  <si>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</si>
  <si>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</si>
  <si>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</si>
  <si>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</si>
  <si>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</si>
  <si>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</si>
  <si>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</si>
  <si>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</si>
  <si>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</si>
  <si>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</si>
  <si>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</si>
  <si>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</si>
  <si>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</si>
  <si>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</si>
  <si>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</si>
  <si>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</si>
  <si>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</si>
  <si>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</si>
  <si>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</si>
  <si>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</si>
  <si>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</si>
  <si>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</si>
  <si>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</si>
  <si>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</si>
  <si>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</si>
  <si>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</si>
  <si>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</si>
  <si>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</si>
  <si>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</si>
  <si>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</si>
  <si>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</si>
  <si>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</si>
  <si>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</si>
  <si>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</si>
  <si>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</si>
  <si>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</si>
  <si>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</si>
  <si>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</si>
  <si>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</si>
  <si>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</si>
  <si>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</si>
  <si>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</si>
  <si>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</si>
  <si>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</si>
  <si>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</si>
  <si>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</si>
  <si>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</si>
  <si>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</si>
  <si>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</si>
  <si>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</si>
  <si>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</si>
  <si>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</si>
  <si>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</si>
  <si>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</si>
  <si>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</si>
  <si>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</si>
  <si>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</si>
  <si>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</si>
  <si>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</si>
  <si>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</si>
  <si>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</si>
  <si>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</si>
  <si>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</si>
  <si>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</si>
  <si>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</si>
  <si>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</si>
  <si>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</si>
  <si>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</si>
  <si>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</si>
  <si>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</si>
  <si>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</si>
  <si>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</si>
  <si>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</si>
  <si>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</si>
  <si>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</si>
  <si>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</si>
  <si>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</si>
  <si>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</si>
  <si>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</si>
  <si>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</si>
  <si>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</si>
  <si>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</si>
  <si>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</si>
  <si>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</si>
  <si>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</si>
  <si>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</si>
  <si>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</si>
  <si>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</si>
  <si>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</si>
  <si>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</si>
  <si>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</si>
  <si>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</si>
  <si>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</si>
  <si>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</si>
  <si>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</si>
  <si>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</si>
  <si>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</si>
  <si>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</si>
  <si>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</si>
  <si>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</si>
  <si>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</si>
  <si>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</si>
  <si>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</si>
  <si>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</si>
  <si>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</si>
  <si>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</si>
  <si>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</si>
  <si>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</si>
  <si>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</si>
  <si>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</si>
  <si>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</si>
  <si>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</si>
  <si>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</si>
  <si>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</si>
  <si>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</si>
  <si>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</si>
  <si>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</si>
  <si>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</si>
  <si>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</si>
  <si>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</si>
  <si>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</si>
  <si>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</si>
  <si>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</si>
  <si>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</si>
  <si>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</si>
  <si>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</si>
  <si>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</si>
  <si>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</si>
  <si>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</si>
  <si>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</si>
  <si>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</si>
  <si>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</si>
  <si>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</si>
  <si>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</si>
  <si>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</si>
  <si>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</si>
  <si>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</si>
  <si>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</si>
  <si>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</si>
  <si>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</si>
  <si>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</si>
  <si>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</si>
  <si>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</si>
  <si>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</si>
  <si>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</si>
  <si>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</si>
  <si>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</si>
  <si>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</si>
  <si>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</si>
  <si>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</si>
  <si>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</si>
  <si>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</si>
  <si>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</si>
  <si>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</si>
  <si>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</si>
  <si>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</si>
  <si>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</si>
  <si>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</si>
  <si>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</si>
  <si>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</si>
  <si>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</si>
  <si>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</si>
  <si>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</si>
  <si>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</si>
  <si>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</si>
  <si>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</si>
  <si>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</si>
  <si>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</si>
  <si>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</si>
  <si>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</si>
  <si>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</si>
  <si>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</si>
  <si>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</si>
  <si>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</si>
  <si>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</si>
  <si>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</si>
  <si>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</si>
  <si>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</si>
  <si>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</si>
  <si>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</si>
  <si>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</si>
  <si>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</si>
  <si>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</si>
  <si>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</si>
  <si>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</si>
  <si>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</si>
  <si>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</si>
  <si>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</si>
  <si>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</si>
  <si>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</si>
  <si>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</si>
  <si>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</si>
  <si>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</si>
  <si>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</si>
  <si>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</si>
  <si>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</si>
  <si>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</si>
  <si>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</si>
  <si>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</si>
  <si>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</si>
  <si>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</si>
  <si>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</si>
  <si>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</si>
  <si>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</si>
  <si>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</si>
  <si>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</si>
  <si>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</si>
  <si>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</si>
  <si>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</si>
  <si>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</si>
  <si>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</si>
  <si>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</si>
  <si>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</si>
  <si>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</si>
  <si>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</si>
  <si>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</si>
  <si>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</si>
  <si>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</si>
  <si>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</si>
  <si>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</si>
  <si>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</si>
  <si>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</si>
  <si>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</si>
  <si>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</si>
  <si>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</si>
  <si>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</si>
  <si>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</si>
  <si>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</si>
  <si>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</si>
  <si>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</si>
  <si>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</si>
  <si>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</si>
  <si>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</si>
  <si>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</si>
  <si>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</si>
  <si>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</si>
  <si>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</si>
  <si>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</si>
  <si>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</si>
  <si>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</si>
  <si>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</si>
  <si>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</si>
  <si>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</si>
  <si>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</si>
  <si>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</si>
  <si>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</si>
  <si>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</si>
  <si>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</si>
  <si>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</si>
  <si>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</si>
  <si>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</si>
  <si>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</si>
  <si>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</si>
  <si>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</si>
  <si>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</si>
  <si>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</si>
  <si>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</si>
  <si>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</si>
  <si>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</si>
  <si>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</si>
  <si>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</si>
  <si>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</si>
  <si>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</si>
  <si>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</si>
  <si>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</si>
  <si>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</si>
  <si>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</si>
  <si>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</si>
  <si>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</si>
  <si>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</si>
  <si>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</si>
  <si>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</si>
  <si>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</si>
  <si>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</si>
  <si>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</si>
  <si>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</si>
  <si>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</si>
  <si>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</si>
  <si>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</si>
  <si>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</si>
  <si>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</si>
  <si>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</si>
  <si>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</si>
  <si>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</si>
  <si>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</si>
  <si>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</si>
  <si>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</si>
  <si>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</si>
  <si>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</si>
  <si>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</si>
  <si>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</si>
  <si>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</si>
  <si>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</si>
  <si>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</si>
  <si>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</si>
  <si>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</si>
  <si>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</si>
  <si>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</si>
  <si>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</si>
  <si>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</si>
  <si>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</si>
  <si>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</si>
  <si>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</si>
  <si>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</si>
  <si>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</si>
  <si>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</si>
  <si>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</si>
  <si>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</si>
  <si>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</si>
  <si>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</si>
  <si>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</si>
  <si>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</si>
  <si>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</si>
  <si>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</si>
  <si>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</si>
  <si>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</si>
  <si>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</si>
  <si>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</si>
  <si>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</si>
  <si>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</si>
  <si>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</si>
  <si>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</si>
  <si>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</si>
  <si>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</si>
  <si>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</si>
  <si>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</si>
  <si>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</si>
  <si>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</si>
  <si>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</si>
  <si>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</si>
  <si>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</si>
  <si>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</si>
  <si>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</si>
  <si>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</si>
  <si>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</si>
  <si>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</si>
  <si>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</si>
  <si>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</si>
  <si>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</si>
  <si>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</si>
  <si>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</si>
  <si>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</si>
  <si>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</si>
  <si>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</si>
  <si>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</si>
  <si>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</si>
  <si>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</si>
  <si>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</si>
  <si>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</si>
  <si>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</si>
  <si>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</si>
  <si>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</si>
  <si>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</si>
  <si>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</si>
  <si>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</si>
  <si>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</si>
  <si>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</si>
  <si>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</si>
  <si>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</si>
  <si>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</si>
  <si>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</si>
  <si>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</si>
  <si>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</si>
  <si>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</si>
  <si>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</si>
  <si>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</si>
  <si>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</si>
  <si>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</si>
  <si>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</si>
  <si>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</si>
  <si>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</si>
  <si>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</si>
  <si>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</si>
  <si>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</si>
  <si>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</si>
  <si>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</si>
  <si>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</si>
  <si>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</si>
  <si>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</si>
  <si>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</si>
  <si>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</si>
  <si>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</si>
  <si>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</si>
  <si>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</si>
  <si>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</si>
  <si>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</si>
  <si>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</si>
  <si>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</si>
  <si>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</si>
  <si>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</si>
  <si>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</si>
  <si>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</si>
  <si>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</si>
  <si>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</si>
  <si>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</si>
  <si>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</si>
  <si>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</si>
  <si>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</si>
  <si>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</si>
  <si>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</si>
  <si>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</si>
  <si>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</si>
  <si>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</si>
  <si>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</si>
  <si>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</si>
  <si>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</si>
  <si>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</si>
  <si>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</si>
  <si>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</si>
  <si>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</si>
  <si>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</si>
  <si>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</si>
  <si>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</si>
  <si>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</si>
  <si>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</si>
  <si>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</si>
  <si>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</si>
  <si>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</si>
  <si>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</si>
  <si>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</si>
  <si>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</si>
  <si>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</si>
  <si>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</si>
  <si>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</si>
  <si>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</si>
  <si>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</si>
  <si>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</si>
  <si>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</si>
  <si>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</si>
  <si>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</si>
  <si>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</si>
  <si>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</si>
  <si>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</si>
  <si>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</si>
  <si>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</si>
  <si>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</si>
  <si>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</si>
  <si>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</si>
  <si>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</si>
  <si>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</si>
  <si>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</si>
  <si>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</si>
  <si>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</si>
  <si>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</si>
  <si>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</si>
  <si>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</si>
  <si>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</si>
  <si>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</si>
  <si>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</si>
  <si>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</si>
  <si>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</si>
  <si>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</si>
  <si>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</si>
  <si>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</si>
  <si>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</si>
  <si>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</si>
  <si>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</si>
  <si>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</si>
  <si>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</si>
  <si>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</si>
  <si>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</si>
  <si>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</si>
  <si>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</si>
  <si>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</si>
  <si>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</si>
  <si>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</si>
  <si>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</si>
  <si>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</si>
  <si>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</si>
  <si>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</si>
  <si>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</si>
  <si>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</si>
  <si>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</si>
  <si>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</si>
  <si>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</si>
  <si>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</si>
  <si>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</si>
  <si>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</si>
  <si>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</si>
  <si>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</si>
  <si>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</si>
  <si>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</si>
  <si>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</si>
  <si>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</si>
  <si>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</si>
  <si>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</si>
  <si>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</si>
  <si>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</si>
  <si>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</si>
  <si>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</si>
  <si>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</si>
  <si>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</si>
  <si>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</si>
  <si>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</si>
  <si>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</si>
  <si>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</si>
  <si>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</si>
  <si>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</si>
  <si>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</si>
  <si>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</si>
  <si>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</si>
  <si>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</si>
  <si>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</si>
  <si>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</si>
  <si>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</si>
  <si>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</si>
  <si>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</si>
  <si>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</si>
  <si>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</si>
  <si>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</si>
  <si>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</si>
  <si>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</si>
  <si>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</si>
  <si>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</si>
  <si>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</si>
  <si>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</si>
  <si>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</si>
  <si>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</si>
  <si>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</si>
  <si>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</si>
  <si>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</si>
  <si>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</si>
  <si>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</si>
  <si>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</si>
  <si>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</si>
  <si>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</si>
  <si>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</si>
  <si>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</si>
  <si>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</si>
  <si>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</si>
  <si>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</si>
  <si>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</si>
  <si>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</si>
  <si>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</si>
  <si>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</si>
  <si>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</si>
  <si>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</si>
  <si>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</si>
  <si>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</si>
  <si>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</si>
  <si>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</si>
  <si>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</si>
  <si>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</si>
  <si>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</si>
  <si>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</si>
  <si>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</si>
  <si>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</si>
  <si>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</si>
  <si>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</si>
  <si>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</si>
  <si>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</si>
  <si>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</si>
  <si>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</si>
  <si>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</si>
  <si>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</si>
  <si>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</si>
  <si>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</si>
  <si>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</si>
  <si>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</si>
  <si>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</si>
  <si>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</si>
  <si>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</si>
  <si>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</si>
  <si>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</si>
  <si>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</si>
  <si>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</si>
  <si>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</si>
  <si>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</si>
  <si>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</si>
  <si>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</si>
  <si>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</si>
  <si>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</si>
  <si>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</si>
  <si>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</si>
  <si>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</si>
  <si>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</si>
  <si>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</si>
  <si>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</si>
  <si>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</si>
  <si>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</si>
  <si>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</si>
  <si>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</si>
  <si>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</si>
  <si>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</si>
  <si>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</si>
  <si>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</si>
  <si>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</si>
  <si>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</si>
  <si>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</si>
  <si>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</si>
  <si>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</si>
  <si>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</si>
  <si>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</si>
  <si>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</si>
  <si>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</si>
  <si>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</si>
  <si>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</si>
  <si>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</si>
  <si>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</si>
  <si>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</si>
  <si>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</si>
  <si>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</si>
  <si>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</si>
  <si>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</si>
  <si>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</si>
  <si>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</si>
  <si>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</si>
  <si>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</si>
  <si>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</si>
  <si>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</si>
  <si>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</si>
  <si>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</si>
  <si>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</si>
  <si>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</si>
  <si>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</si>
  <si>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</si>
  <si>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</si>
  <si>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</si>
  <si>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</si>
  <si>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</si>
  <si>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</si>
  <si>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</si>
  <si>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</si>
  <si>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</si>
  <si>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</si>
  <si>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</si>
  <si>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</si>
  <si>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</si>
  <si>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</si>
  <si>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</si>
  <si>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</si>
  <si>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</si>
  <si>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</si>
  <si>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</si>
  <si>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</si>
  <si>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</si>
  <si>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</si>
  <si>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</si>
  <si>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</si>
  <si>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</si>
  <si>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</si>
  <si>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</si>
  <si>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</si>
  <si>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</si>
  <si>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</si>
  <si>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</si>
  <si>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</si>
  <si>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</si>
  <si>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</si>
  <si>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</si>
  <si>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</si>
  <si>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</si>
  <si>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</si>
  <si>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</si>
  <si>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</si>
  <si>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</si>
  <si>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</si>
  <si>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</si>
  <si>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</si>
  <si>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</si>
  <si>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</si>
  <si>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</si>
  <si>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</si>
  <si>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</si>
  <si>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</si>
  <si>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</si>
  <si>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</si>
  <si>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</si>
  <si>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</si>
  <si>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</si>
  <si>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</si>
  <si>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</si>
  <si>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</si>
  <si>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</si>
  <si>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</si>
  <si>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</si>
  <si>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</si>
  <si>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</si>
  <si>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</si>
  <si>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</si>
  <si>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</si>
  <si>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</si>
  <si>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</si>
  <si>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</si>
  <si>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</si>
  <si>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</si>
  <si>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</si>
  <si>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</si>
  <si>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</si>
  <si>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</si>
  <si>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</si>
  <si>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</si>
  <si>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</si>
  <si>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</si>
  <si>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</si>
  <si>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</si>
  <si>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</si>
  <si>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</si>
  <si>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</si>
  <si>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</si>
  <si>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</si>
  <si>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</si>
  <si>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</si>
  <si>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</si>
  <si>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</si>
  <si>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</si>
  <si>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</si>
  <si>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</si>
  <si>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</si>
  <si>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</si>
  <si>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</si>
  <si>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</si>
  <si>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</si>
  <si>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</si>
  <si>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</si>
  <si>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</si>
  <si>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</si>
  <si>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</si>
  <si>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</si>
  <si>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</si>
  <si>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</si>
  <si>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</si>
  <si>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</si>
  <si>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</si>
  <si>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</si>
  <si>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</si>
  <si>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</si>
  <si>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</si>
  <si>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</si>
  <si>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</si>
  <si>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</si>
  <si>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</si>
  <si>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</si>
  <si>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</si>
  <si>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</si>
  <si>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</si>
  <si>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</si>
  <si>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</si>
  <si>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</si>
  <si>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</si>
  <si>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</si>
  <si>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</si>
  <si>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</si>
  <si>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</si>
  <si>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</si>
  <si>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</si>
  <si>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</si>
  <si>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</si>
  <si>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</si>
  <si>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</si>
  <si>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</si>
  <si>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</si>
  <si>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</si>
  <si>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</si>
  <si>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</si>
  <si>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</si>
  <si>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</si>
  <si>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</si>
  <si>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</si>
  <si>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</si>
  <si>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</si>
  <si>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</si>
  <si>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</si>
  <si>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</si>
  <si>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</si>
  <si>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</si>
  <si>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</si>
  <si>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</si>
  <si>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</si>
  <si>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</si>
  <si>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</si>
  <si>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</si>
  <si>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</si>
  <si>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</si>
  <si>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</si>
  <si>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</si>
  <si>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</si>
  <si>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</si>
  <si>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</si>
  <si>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</si>
  <si>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</si>
  <si>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</si>
  <si>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</si>
  <si>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</si>
  <si>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</si>
  <si>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</si>
  <si>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</si>
  <si>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</si>
  <si>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</si>
  <si>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</si>
  <si>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</si>
  <si>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</si>
  <si>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</si>
  <si>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</si>
  <si>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</si>
  <si>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</si>
  <si>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</si>
  <si>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</si>
  <si>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</si>
  <si>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</si>
  <si>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</si>
  <si>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</si>
  <si>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</si>
  <si>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</si>
  <si>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</si>
  <si>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</si>
  <si>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</si>
  <si>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</si>
  <si>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</si>
  <si>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</si>
  <si>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</si>
  <si>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</si>
  <si>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</si>
  <si>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</si>
  <si>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</si>
  <si>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</si>
  <si>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</si>
  <si>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</si>
  <si>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</si>
  <si>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</si>
  <si>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</si>
  <si>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</si>
  <si>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</si>
  <si>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</si>
  <si>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</si>
  <si>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</si>
  <si>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</si>
  <si>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</si>
  <si>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</si>
  <si>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</si>
  <si>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</si>
  <si>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</si>
  <si>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</si>
  <si>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</si>
  <si>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</si>
  <si>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</si>
  <si>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</si>
  <si>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</si>
  <si>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</si>
  <si>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</si>
  <si>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</si>
  <si>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</si>
  <si>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</si>
  <si>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</si>
  <si>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</si>
  <si>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</si>
  <si>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</si>
  <si>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</si>
  <si>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</si>
  <si>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</si>
  <si>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</si>
  <si>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</si>
  <si>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</si>
  <si>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</si>
  <si>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</si>
  <si>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</si>
  <si>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</si>
  <si>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</si>
  <si>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</si>
  <si>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</si>
  <si>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</si>
  <si>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</si>
  <si>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</si>
  <si>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</si>
  <si>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</si>
  <si>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</si>
  <si>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</si>
  <si>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</si>
  <si>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</si>
  <si>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</si>
  <si>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</si>
  <si>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</si>
  <si>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</si>
  <si>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</si>
  <si>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</si>
  <si>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</si>
  <si>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</si>
  <si>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</si>
  <si>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</si>
  <si>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</si>
  <si>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</si>
  <si>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</si>
  <si>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</si>
  <si>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</si>
  <si>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</si>
  <si>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</si>
  <si>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</si>
  <si>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</si>
  <si>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</si>
  <si>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</si>
  <si>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</si>
  <si>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</si>
  <si>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</si>
  <si>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</si>
  <si>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</si>
  <si>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</si>
  <si>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</si>
  <si>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</si>
  <si>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</si>
  <si>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</si>
  <si>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</si>
  <si>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</si>
  <si>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</si>
  <si>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</si>
  <si>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</si>
  <si>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</si>
  <si>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</si>
  <si>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</si>
  <si>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</si>
  <si>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</si>
  <si>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</si>
  <si>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</si>
  <si>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</si>
  <si>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</si>
  <si>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</si>
  <si>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</si>
  <si>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</si>
  <si>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</si>
  <si>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</si>
  <si>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</si>
  <si>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</si>
  <si>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</si>
  <si>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</si>
  <si>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</si>
  <si>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</si>
  <si>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</si>
  <si>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</si>
  <si>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</si>
  <si>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</si>
  <si>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</si>
  <si>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</si>
  <si>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</si>
  <si>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</si>
  <si>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</si>
  <si>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</si>
  <si>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</si>
  <si>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</si>
  <si>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</si>
  <si>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</si>
  <si>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</si>
  <si>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</si>
  <si>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</si>
  <si>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</si>
  <si>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</si>
  <si>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</si>
  <si>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</si>
  <si>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</si>
  <si>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</si>
  <si>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</si>
  <si>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</si>
  <si>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</si>
  <si>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</si>
  <si>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</si>
  <si>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</si>
  <si>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</si>
  <si>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</si>
  <si>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</si>
  <si>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</si>
  <si>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</si>
  <si>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</si>
  <si>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</si>
  <si>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</si>
  <si>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</si>
  <si>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</si>
  <si>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</si>
  <si>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</si>
  <si>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</si>
  <si>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</si>
  <si>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</si>
  <si>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</si>
  <si>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</si>
  <si>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</si>
  <si>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</si>
  <si>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</si>
  <si>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</si>
  <si>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</si>
  <si>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</si>
  <si>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</si>
  <si>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</si>
  <si>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</si>
  <si>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</si>
  <si>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</si>
  <si>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</si>
  <si>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</si>
  <si>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</si>
  <si>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</si>
  <si>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</si>
  <si>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</si>
  <si>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</si>
  <si>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</si>
  <si>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</si>
  <si>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</si>
  <si>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</si>
  <si>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</si>
  <si>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</si>
  <si>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</si>
  <si>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</si>
  <si>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</si>
  <si>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</si>
  <si>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</si>
  <si>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</si>
  <si>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</si>
  <si>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</si>
  <si>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</si>
  <si>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</si>
  <si>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</si>
  <si>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</si>
  <si>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</si>
  <si>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</si>
  <si>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</si>
  <si>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</si>
  <si>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</si>
  <si>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</si>
  <si>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</si>
  <si>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</si>
  <si>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</si>
  <si>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</si>
  <si>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</si>
  <si>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</si>
  <si>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</si>
  <si>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</si>
  <si>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</si>
  <si>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</si>
  <si>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</si>
  <si>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</si>
  <si>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</si>
  <si>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</si>
  <si>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</si>
  <si>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</si>
  <si>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</si>
  <si>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</si>
  <si>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</si>
  <si>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</si>
  <si>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</si>
  <si>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</si>
  <si>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</si>
  <si>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</si>
  <si>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</si>
  <si>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</si>
  <si>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</si>
  <si>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</si>
  <si>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</si>
  <si>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</si>
  <si>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</si>
  <si>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</si>
  <si>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</si>
  <si>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</si>
  <si>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</si>
  <si>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</si>
  <si>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</si>
  <si>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</si>
  <si>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</si>
  <si>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</si>
  <si>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</si>
  <si>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</si>
  <si>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</si>
  <si>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</si>
  <si>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</si>
  <si>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</si>
  <si>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</si>
  <si>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</si>
  <si>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</si>
  <si>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</si>
  <si>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</si>
  <si>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</si>
  <si>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</si>
  <si>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</si>
  <si>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</si>
  <si>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</si>
  <si>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</si>
  <si>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</si>
  <si>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</si>
  <si>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</si>
  <si>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</si>
  <si>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</si>
  <si>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</si>
  <si>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</si>
  <si>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</si>
  <si>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</si>
  <si>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</si>
  <si>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</si>
  <si>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</si>
  <si>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</si>
  <si>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</si>
  <si>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</si>
  <si>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</si>
  <si>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</si>
  <si>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</si>
  <si>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</si>
  <si>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</si>
  <si>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</si>
  <si>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</si>
  <si>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</si>
  <si>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</si>
  <si>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</si>
  <si>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</si>
  <si>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</si>
  <si>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</si>
  <si>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</si>
  <si>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</si>
  <si>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</si>
  <si>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</si>
  <si>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</si>
  <si>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</si>
  <si>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</si>
  <si>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</si>
  <si>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</si>
  <si>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</si>
  <si>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</si>
  <si>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</si>
  <si>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</si>
  <si>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</si>
  <si>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</si>
  <si>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</si>
  <si>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</si>
  <si>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</si>
  <si>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</si>
  <si>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</si>
  <si>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</si>
  <si>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</si>
  <si>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</si>
  <si>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</si>
  <si>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</si>
  <si>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</si>
  <si>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</si>
  <si>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</si>
  <si>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</si>
  <si>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</si>
  <si>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</si>
  <si>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</si>
  <si>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</si>
  <si>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</si>
  <si>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</si>
  <si>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</si>
  <si>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</si>
  <si>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</si>
  <si>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</si>
  <si>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</si>
  <si>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</si>
  <si>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</si>
  <si>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</si>
  <si>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</si>
  <si>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</si>
  <si>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</si>
  <si>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</si>
  <si>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</si>
  <si>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</si>
  <si>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</si>
  <si>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</si>
  <si>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</si>
  <si>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</si>
  <si>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</si>
  <si>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</si>
  <si>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</si>
  <si>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</si>
  <si>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</si>
  <si>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</si>
  <si>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</si>
  <si>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</si>
  <si>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</si>
  <si>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</si>
  <si>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</si>
  <si>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</si>
  <si>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</si>
  <si>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</si>
  <si>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</si>
  <si>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</si>
  <si>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</si>
  <si>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</si>
  <si>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</si>
  <si>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</si>
  <si>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</si>
  <si>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</si>
  <si>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</si>
  <si>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</si>
  <si>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</si>
  <si>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</si>
  <si>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</si>
  <si>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</si>
  <si>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</si>
  <si>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</si>
  <si>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</si>
  <si>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</si>
  <si>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</si>
  <si>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</si>
  <si>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</si>
  <si>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</si>
  <si>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</si>
  <si>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</si>
  <si>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</si>
  <si>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</si>
  <si>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</si>
  <si>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</si>
  <si>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</si>
  <si>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</si>
  <si>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</si>
  <si>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</si>
  <si>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</si>
  <si>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</si>
  <si>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</si>
  <si>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</si>
  <si>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</si>
  <si>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</si>
  <si>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</si>
  <si>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</si>
  <si>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</si>
  <si>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</si>
  <si>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</si>
  <si>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</si>
  <si>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</si>
  <si>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</si>
  <si>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</si>
  <si>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</si>
  <si>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</si>
  <si>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</si>
  <si>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</si>
  <si>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</si>
  <si>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</si>
  <si>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</si>
  <si>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</si>
  <si>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</si>
  <si>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</si>
  <si>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</si>
  <si>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</si>
  <si>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</si>
  <si>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</si>
  <si>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</si>
  <si>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</si>
  <si>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</si>
  <si>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</si>
  <si>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</si>
  <si>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</si>
  <si>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</si>
  <si>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</si>
  <si>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</si>
  <si>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</si>
  <si>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</si>
  <si>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</si>
  <si>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</si>
  <si>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</si>
  <si>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</si>
  <si>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</si>
  <si>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</si>
  <si>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</si>
  <si>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</si>
  <si>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</si>
  <si>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</si>
  <si>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</si>
  <si>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</si>
  <si>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</si>
  <si>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</si>
  <si>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</si>
  <si>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</si>
  <si>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</si>
  <si>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</si>
  <si>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</si>
  <si>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</si>
  <si>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</si>
  <si>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</si>
  <si>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</si>
  <si>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</si>
  <si>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</si>
  <si>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</si>
  <si>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</si>
  <si>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</si>
  <si>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</si>
  <si>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</si>
  <si>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</si>
  <si>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</si>
  <si>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</si>
  <si>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</si>
  <si>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</si>
  <si>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</si>
  <si>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</si>
  <si>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</si>
  <si>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</si>
  <si>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</si>
  <si>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</si>
  <si>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</si>
  <si>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</si>
  <si>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</si>
  <si>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</si>
  <si>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</si>
  <si>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</si>
  <si>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</si>
  <si>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</si>
  <si>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</si>
  <si>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</si>
  <si>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</si>
  <si>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</si>
  <si>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</si>
  <si>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</si>
  <si>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</si>
  <si>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</si>
  <si>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</si>
  <si>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</si>
  <si>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</si>
  <si>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</si>
  <si>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</si>
  <si>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</si>
  <si>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</si>
  <si>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</si>
  <si>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</si>
  <si>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</si>
  <si>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</si>
  <si>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</si>
  <si>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</si>
  <si>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</si>
  <si>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</si>
  <si>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</si>
  <si>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</si>
  <si>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</si>
  <si>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</si>
  <si>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</si>
  <si>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</si>
  <si>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</si>
  <si>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</si>
  <si>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</si>
  <si>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</si>
  <si>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</si>
  <si>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</si>
  <si>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</si>
  <si>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</si>
  <si>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</si>
  <si>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</si>
  <si>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</si>
  <si>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</si>
  <si>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</si>
  <si>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</si>
  <si>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</si>
  <si>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</si>
  <si>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</si>
  <si>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</si>
  <si>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</si>
  <si>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</si>
  <si>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</si>
  <si>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</si>
  <si>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</si>
  <si>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</si>
  <si>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</si>
  <si>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</si>
  <si>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</si>
  <si>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</si>
  <si>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</si>
  <si>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</si>
  <si>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</si>
  <si>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</si>
  <si>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</si>
  <si>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</si>
  <si>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</si>
  <si>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</si>
  <si>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</si>
  <si>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</si>
  <si>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</si>
  <si>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</si>
  <si>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</si>
  <si>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</si>
  <si>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</si>
  <si>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</si>
  <si>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</si>
  <si>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</si>
  <si>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</si>
  <si>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</si>
  <si>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</si>
  <si>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</si>
  <si>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</si>
  <si>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</si>
  <si>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</si>
  <si>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</si>
  <si>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</si>
  <si>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</si>
  <si>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</si>
  <si>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</si>
  <si>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</si>
  <si>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</si>
  <si>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</si>
  <si>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</si>
  <si>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</si>
  <si>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</si>
  <si>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</si>
  <si>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</si>
  <si>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</si>
  <si>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</si>
  <si>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</si>
  <si>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</si>
  <si>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</si>
  <si>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</si>
  <si>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</si>
  <si>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</si>
  <si>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</si>
  <si>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</si>
  <si>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</si>
  <si>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</si>
  <si>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</si>
  <si>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</si>
  <si>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</si>
  <si>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</si>
  <si>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</si>
  <si>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</si>
  <si>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</si>
  <si>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</si>
  <si>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</si>
  <si>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</si>
  <si>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</si>
  <si>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</si>
  <si>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</si>
  <si>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</si>
  <si>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</si>
  <si>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</si>
  <si>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</si>
  <si>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</si>
  <si>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</si>
  <si>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</si>
  <si>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</si>
  <si>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</si>
  <si>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</si>
  <si>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</si>
  <si>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</si>
  <si>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</si>
  <si>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</si>
  <si>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</si>
  <si>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</si>
  <si>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</si>
  <si>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</si>
  <si>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</si>
  <si>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</si>
  <si>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</si>
  <si>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</si>
  <si>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</si>
  <si>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</si>
  <si>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</si>
  <si>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</si>
  <si>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</si>
  <si>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</si>
  <si>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</si>
  <si>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</si>
  <si>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</si>
  <si>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</si>
  <si>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</si>
  <si>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</si>
  <si>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</si>
  <si>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</si>
  <si>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</si>
  <si>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</si>
  <si>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</si>
  <si>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</si>
  <si>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</si>
  <si>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</si>
  <si>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</si>
  <si>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</si>
  <si>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</si>
  <si>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</si>
  <si>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</si>
  <si>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</si>
  <si>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</si>
  <si>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</si>
  <si>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</si>
  <si>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</si>
  <si>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</si>
  <si>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</si>
  <si>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</si>
  <si>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</si>
  <si>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</si>
  <si>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</si>
  <si>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</si>
  <si>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</si>
  <si>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</si>
  <si>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</si>
  <si>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</si>
  <si>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</si>
  <si>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</si>
  <si>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</si>
  <si>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</si>
  <si>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</si>
  <si>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</si>
  <si>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</si>
  <si>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</si>
  <si>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</si>
  <si>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</si>
  <si>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</si>
  <si>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</si>
  <si>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</si>
  <si>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</si>
  <si>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</si>
  <si>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</si>
  <si>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</si>
  <si>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</si>
  <si>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</si>
  <si>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</si>
  <si>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</si>
  <si>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</si>
  <si>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</si>
  <si>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</si>
  <si>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</si>
  <si>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</si>
  <si>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</si>
  <si>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</si>
  <si>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</si>
  <si>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</si>
  <si>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</si>
  <si>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</si>
  <si>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</si>
  <si>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</si>
  <si>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</si>
  <si>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</si>
  <si>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</si>
  <si>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</si>
  <si>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</si>
  <si>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</si>
  <si>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</si>
  <si>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</si>
  <si>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</si>
  <si>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</si>
  <si>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</si>
  <si>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</si>
  <si>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</si>
  <si>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</si>
  <si>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</si>
  <si>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</si>
  <si>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</si>
  <si>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</si>
  <si>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</si>
  <si>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</si>
  <si>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</si>
  <si>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</si>
  <si>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</si>
  <si>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</si>
  <si>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</si>
  <si>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</si>
  <si>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</si>
  <si>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</si>
  <si>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</si>
  <si>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</si>
  <si>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</si>
  <si>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</si>
  <si>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</si>
  <si>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</si>
  <si>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</si>
  <si>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</si>
  <si>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</si>
  <si>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</si>
  <si>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</si>
  <si>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</si>
  <si>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</si>
  <si>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</si>
  <si>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</si>
  <si>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</si>
  <si>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</si>
  <si>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</si>
  <si>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</si>
  <si>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</si>
  <si>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</si>
  <si>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</si>
  <si>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</si>
  <si>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</si>
  <si>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</si>
  <si>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</si>
  <si>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</si>
  <si>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</si>
  <si>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</si>
  <si>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</si>
  <si>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</si>
  <si>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</si>
  <si>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</si>
  <si>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</si>
  <si>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</si>
  <si>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</si>
  <si>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</si>
  <si>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</si>
  <si>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</si>
  <si>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</si>
  <si>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</si>
  <si>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</si>
  <si>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</si>
  <si>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</si>
  <si>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</si>
  <si>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</si>
  <si>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</si>
  <si>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</si>
  <si>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</si>
  <si>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</si>
  <si>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</si>
  <si>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</si>
  <si>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</si>
  <si>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</si>
  <si>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</si>
  <si>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</si>
  <si>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</si>
  <si>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</si>
  <si>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</si>
  <si>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</si>
  <si>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</si>
  <si>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</si>
  <si>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</si>
  <si>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</si>
  <si>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</si>
  <si>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</si>
  <si>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</si>
  <si>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</si>
  <si>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</si>
  <si>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</si>
  <si>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</si>
  <si>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</si>
  <si>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</si>
  <si>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</si>
  <si>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</si>
  <si>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</si>
  <si>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</si>
  <si>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</si>
  <si>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</si>
  <si>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</si>
  <si>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</si>
  <si>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</si>
  <si>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</si>
  <si>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</si>
  <si>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</si>
  <si>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</si>
  <si>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</si>
  <si>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</si>
  <si>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</si>
  <si>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</si>
  <si>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</si>
  <si>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</si>
  <si>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</si>
  <si>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</si>
  <si>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</si>
  <si>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</si>
  <si>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</si>
  <si>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</si>
  <si>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</si>
  <si>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</si>
  <si>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</si>
  <si>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</si>
  <si>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</si>
  <si>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</si>
  <si>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</si>
  <si>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</si>
  <si>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</si>
  <si>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</si>
  <si>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</si>
  <si>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</si>
  <si>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</si>
  <si>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</si>
  <si>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</si>
  <si>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</si>
  <si>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</si>
  <si>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</si>
  <si>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</si>
  <si>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</si>
  <si>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</si>
  <si>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</si>
  <si>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</si>
  <si>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</si>
  <si>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</si>
  <si>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</si>
  <si>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</si>
  <si>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</si>
  <si>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</si>
  <si>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</si>
  <si>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</si>
  <si>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</si>
  <si>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</si>
  <si>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</si>
  <si>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</si>
  <si>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</si>
  <si>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</si>
  <si>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</si>
  <si>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</si>
  <si>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</si>
  <si>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</si>
  <si>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</si>
  <si>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</si>
  <si>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</si>
  <si>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</si>
  <si>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</si>
  <si>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</si>
  <si>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</si>
  <si>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</si>
  <si>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</si>
  <si>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</si>
  <si>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</si>
  <si>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</si>
  <si>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</si>
  <si>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</si>
  <si>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</si>
  <si>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</si>
  <si>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</si>
  <si>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</si>
  <si>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</si>
  <si>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</si>
  <si>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</si>
  <si>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</si>
  <si>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</si>
  <si>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</si>
  <si>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</si>
  <si>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</si>
  <si>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</si>
  <si>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</si>
  <si>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</si>
  <si>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</si>
  <si>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</si>
  <si>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</si>
  <si>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</si>
  <si>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</si>
  <si>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</si>
  <si>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</si>
  <si>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</si>
  <si>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</si>
  <si>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</si>
  <si>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</si>
  <si>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</si>
  <si>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</si>
  <si>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</si>
  <si>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</si>
  <si>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</si>
  <si>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</si>
  <si>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</si>
  <si>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</si>
  <si>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</si>
  <si>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</si>
  <si>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</si>
  <si>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</si>
  <si>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</si>
  <si>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</si>
  <si>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</si>
  <si>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</si>
  <si>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</si>
  <si>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</si>
  <si>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</si>
  <si>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</si>
  <si>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</si>
  <si>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</si>
  <si>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</si>
  <si>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</si>
  <si>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</si>
  <si>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</si>
  <si>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</si>
  <si>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</si>
  <si>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</si>
  <si>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</si>
  <si>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</si>
  <si>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</si>
  <si>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</si>
  <si>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</si>
  <si>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</si>
  <si>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</si>
  <si>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</si>
  <si>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</si>
  <si>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</si>
  <si>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</si>
  <si>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</si>
  <si>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</si>
  <si>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</si>
  <si>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</si>
  <si>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</si>
  <si>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</si>
  <si>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</si>
  <si>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</si>
  <si>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</si>
  <si>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</si>
  <si>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</si>
  <si>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</si>
  <si>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</si>
  <si>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</si>
  <si>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</si>
  <si>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</si>
  <si>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</si>
  <si>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</si>
  <si>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</si>
  <si>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</si>
  <si>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</si>
  <si>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</si>
  <si>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</si>
  <si>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</si>
  <si>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</si>
  <si>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</si>
  <si>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</si>
  <si>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</si>
  <si>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</si>
  <si>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</si>
  <si>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</si>
  <si>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</si>
  <si>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</si>
  <si>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</si>
  <si>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</si>
  <si>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</si>
  <si>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</si>
  <si>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</si>
  <si>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</si>
  <si>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</si>
  <si>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</si>
  <si>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</si>
  <si>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</si>
  <si>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</si>
  <si>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</si>
  <si>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</si>
  <si>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</si>
  <si>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</si>
  <si>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</si>
  <si>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</si>
  <si>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</si>
  <si>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</si>
  <si>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</si>
  <si>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</si>
  <si>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</si>
  <si>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</si>
  <si>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</si>
  <si>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</si>
  <si>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</si>
  <si>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</si>
  <si>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</si>
  <si>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</si>
  <si>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</si>
  <si>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</si>
  <si>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</si>
  <si>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</si>
  <si>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</si>
  <si>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</si>
  <si>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</si>
  <si>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</si>
  <si>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</si>
  <si>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</si>
  <si>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</si>
  <si>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</si>
  <si>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</si>
  <si>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</si>
  <si>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</si>
  <si>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</si>
  <si>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</si>
  <si>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</si>
  <si>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</si>
  <si>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</si>
  <si>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</si>
  <si>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</si>
  <si>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</si>
  <si>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</si>
  <si>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</si>
  <si>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</si>
  <si>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</si>
  <si>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</si>
  <si>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</si>
  <si>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</si>
  <si>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</si>
  <si>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</si>
  <si>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</si>
  <si>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</si>
  <si>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</si>
  <si>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</si>
  <si>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</si>
  <si>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</si>
  <si>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</si>
  <si>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</si>
  <si>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</si>
  <si>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</si>
  <si>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</si>
  <si>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</si>
  <si>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</si>
  <si>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</si>
  <si>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</si>
  <si>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</si>
  <si>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</si>
  <si>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</si>
  <si>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</si>
  <si>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</si>
  <si>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</si>
  <si>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</si>
  <si>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</si>
  <si>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</si>
  <si>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</si>
  <si>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</si>
  <si>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</si>
  <si>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</si>
  <si>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</si>
  <si>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</si>
  <si>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</si>
  <si>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</si>
  <si>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</si>
  <si>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</si>
  <si>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</si>
  <si>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</si>
  <si>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</si>
  <si>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</si>
  <si>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</si>
  <si>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</si>
  <si>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</si>
  <si>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</si>
  <si>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</si>
  <si>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</si>
  <si>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</si>
  <si>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</si>
  <si>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</si>
  <si>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</si>
  <si>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</si>
  <si>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</si>
  <si>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</si>
  <si>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</si>
  <si>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</si>
  <si>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</si>
  <si>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</si>
  <si>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</si>
  <si>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</si>
  <si>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</si>
  <si>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</si>
  <si>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</si>
  <si>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</si>
  <si>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</si>
  <si>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</si>
  <si>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</si>
  <si>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</si>
  <si>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</si>
  <si>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</si>
  <si>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</si>
  <si>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</si>
  <si>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</si>
  <si>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</si>
  <si>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</si>
  <si>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</si>
  <si>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</si>
  <si>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</si>
  <si>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</si>
  <si>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</si>
  <si>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</si>
  <si>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</si>
  <si>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</si>
  <si>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</si>
  <si>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</si>
  <si>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</si>
  <si>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</si>
  <si>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</si>
  <si>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</si>
  <si>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</si>
  <si>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</si>
  <si>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</si>
  <si>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</si>
  <si>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</si>
  <si>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</si>
  <si>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</si>
  <si>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</si>
  <si>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</si>
  <si>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</si>
  <si>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</si>
  <si>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</si>
  <si>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</si>
  <si>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</si>
  <si>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</si>
  <si>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</si>
  <si>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</si>
  <si>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</si>
  <si>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</si>
  <si>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</si>
  <si>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</si>
  <si>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</si>
  <si>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</si>
  <si>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</si>
  <si>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</si>
  <si>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</si>
  <si>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</si>
  <si>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</si>
  <si>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</si>
  <si>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</si>
  <si>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</si>
  <si>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</si>
  <si>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</si>
  <si>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</si>
  <si>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</si>
  <si>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</si>
  <si>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</si>
  <si>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</si>
  <si>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</si>
  <si>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</si>
  <si>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</si>
  <si>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</si>
  <si>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</si>
  <si>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</si>
  <si>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</si>
  <si>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</si>
  <si>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</si>
  <si>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</si>
  <si>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</si>
  <si>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</si>
  <si>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</si>
  <si>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</si>
  <si>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</si>
  <si>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</si>
  <si>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</si>
  <si>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</si>
  <si>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</si>
  <si>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</si>
  <si>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</si>
  <si>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</si>
  <si>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</si>
  <si>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</si>
  <si>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</si>
  <si>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</si>
  <si>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</si>
  <si>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</si>
  <si>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</si>
  <si>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</si>
  <si>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</si>
  <si>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</si>
  <si>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</si>
  <si>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</si>
  <si>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</si>
  <si>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</si>
  <si>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</si>
  <si>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</si>
  <si>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</si>
  <si>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</si>
  <si>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</si>
  <si>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</si>
  <si>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</si>
  <si>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</si>
  <si>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</si>
  <si>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</si>
  <si>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</si>
  <si>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</si>
  <si>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</si>
  <si>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</si>
  <si>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</si>
  <si>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</si>
  <si>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</si>
  <si>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</si>
  <si>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</si>
  <si>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</si>
  <si>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</si>
  <si>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</si>
  <si>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</si>
  <si>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</si>
  <si>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</si>
  <si>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</si>
  <si>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</si>
  <si>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</si>
  <si>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</si>
  <si>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</si>
  <si>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</si>
  <si>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</si>
  <si>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</si>
  <si>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</si>
  <si>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</si>
  <si>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</si>
  <si>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</si>
  <si>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</si>
  <si>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</si>
  <si>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</si>
  <si>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</si>
  <si>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</si>
  <si>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</si>
  <si>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</si>
  <si>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</si>
  <si>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</si>
  <si>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</si>
  <si>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</si>
  <si>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</si>
  <si>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</si>
  <si>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</si>
  <si>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</si>
  <si>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</si>
  <si>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</si>
  <si>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</si>
  <si>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</si>
  <si>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</si>
  <si>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</si>
  <si>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</si>
  <si>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</si>
  <si>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</si>
  <si>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</si>
  <si>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</si>
  <si>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</si>
  <si>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</si>
  <si>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</si>
  <si>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</si>
  <si>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</si>
  <si>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</si>
  <si>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</si>
  <si>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</si>
  <si>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</si>
  <si>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</si>
  <si>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</si>
  <si>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</si>
  <si>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</si>
  <si>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</si>
  <si>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</si>
  <si>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</si>
  <si>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</si>
  <si>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</si>
  <si>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</si>
  <si>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</si>
  <si>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</si>
  <si>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</si>
  <si>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</si>
  <si>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</si>
  <si>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</si>
  <si>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</si>
  <si>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</si>
  <si>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</si>
  <si>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</si>
  <si>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</si>
  <si>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</si>
  <si>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</si>
  <si>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</si>
  <si>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</si>
  <si>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</si>
  <si>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</si>
  <si>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</si>
  <si>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</si>
  <si>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</si>
  <si>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</si>
  <si>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</si>
  <si>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</si>
  <si>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</si>
  <si>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</si>
  <si>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</si>
  <si>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</si>
  <si>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</si>
  <si>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</si>
  <si>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</si>
  <si>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</si>
  <si>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</si>
  <si>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</si>
  <si>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</si>
  <si>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</si>
  <si>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</si>
  <si>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</si>
  <si>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</si>
  <si>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</si>
  <si>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</si>
  <si>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</si>
  <si>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</si>
  <si>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</si>
  <si>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</si>
  <si>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</si>
  <si>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</si>
  <si>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</si>
  <si>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</si>
  <si>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</si>
  <si>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</si>
  <si>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</si>
  <si>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</si>
  <si>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</si>
  <si>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</si>
  <si>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</si>
  <si>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</si>
  <si>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</si>
  <si>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</si>
  <si>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</si>
  <si>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</si>
  <si>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</si>
  <si>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</si>
  <si>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</si>
  <si>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</si>
  <si>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</si>
  <si>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</si>
  <si>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</si>
  <si>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</si>
  <si>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</si>
  <si>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</si>
  <si>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</si>
  <si>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</si>
  <si>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</si>
  <si>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</si>
  <si>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</si>
  <si>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</si>
  <si>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</si>
  <si>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</si>
  <si>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</si>
  <si>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</si>
  <si>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</si>
  <si>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</si>
  <si>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</si>
  <si>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</si>
  <si>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</si>
  <si>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</si>
  <si>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</si>
  <si>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</si>
  <si>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</si>
  <si>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</si>
  <si>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</si>
  <si>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</si>
  <si>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</si>
  <si>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</si>
  <si>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</si>
  <si>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</si>
  <si>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</si>
  <si>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</si>
  <si>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</si>
  <si>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</si>
  <si>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</si>
  <si>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</si>
  <si>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</si>
  <si>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</si>
  <si>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</si>
  <si>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</si>
  <si>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</si>
  <si>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</si>
  <si>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</si>
  <si>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</si>
  <si>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</si>
  <si>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</si>
  <si>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</si>
  <si>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</si>
  <si>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</si>
  <si>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</si>
  <si>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</si>
  <si>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</si>
  <si>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</si>
  <si>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</si>
  <si>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</si>
  <si>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</si>
  <si>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</si>
  <si>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</si>
  <si>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</si>
  <si>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</si>
  <si>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</si>
  <si>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</si>
  <si>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</si>
  <si>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</si>
  <si>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</si>
  <si>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</si>
  <si>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</si>
  <si>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</si>
  <si>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</si>
  <si>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</si>
  <si>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</si>
  <si>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</si>
  <si>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</si>
  <si>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</si>
  <si>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</si>
  <si>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</si>
  <si>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</si>
  <si>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</si>
  <si>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</si>
  <si>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</si>
  <si>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</si>
  <si>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</si>
  <si>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</si>
  <si>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</si>
  <si>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</si>
  <si>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</si>
  <si>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</si>
  <si>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</si>
  <si>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</si>
  <si>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</si>
  <si>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</si>
  <si>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</si>
  <si>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</si>
  <si>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</si>
  <si>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</si>
  <si>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</si>
  <si>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</si>
  <si>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</si>
  <si>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</si>
  <si>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</si>
  <si>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</si>
  <si>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</si>
  <si>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</si>
  <si>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</si>
  <si>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</si>
  <si>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</si>
  <si>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</si>
  <si>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</si>
  <si>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</si>
  <si>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</si>
  <si>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</si>
  <si>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</si>
  <si>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</si>
  <si>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</si>
  <si>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</si>
  <si>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</si>
  <si>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</si>
  <si>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</si>
  <si>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</si>
  <si>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</si>
  <si>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</si>
  <si>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</si>
  <si>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</si>
  <si>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</si>
  <si>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</si>
  <si>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</si>
  <si>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</si>
  <si>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</si>
  <si>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</si>
  <si>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</si>
  <si>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</si>
  <si>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</si>
  <si>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</si>
  <si>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</si>
  <si>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</si>
  <si>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</si>
  <si>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</si>
  <si>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</si>
  <si>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</si>
  <si>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</si>
  <si>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</si>
  <si>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</si>
  <si>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</si>
  <si>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</si>
  <si>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</si>
  <si>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</si>
  <si>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</si>
  <si>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</si>
  <si>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</si>
  <si>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</si>
  <si>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</si>
  <si>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</si>
  <si>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</si>
  <si>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</si>
  <si>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</si>
  <si>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</si>
  <si>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</si>
  <si>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</si>
  <si>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</si>
  <si>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</si>
  <si>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</si>
  <si>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</si>
  <si>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</si>
  <si>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</si>
  <si>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</si>
  <si>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</si>
  <si>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</si>
  <si>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</si>
  <si>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</si>
  <si>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</si>
  <si>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</si>
  <si>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</si>
  <si>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</si>
  <si>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</si>
  <si>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</si>
  <si>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</si>
  <si>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</si>
  <si>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</si>
  <si>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</si>
  <si>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</si>
  <si>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</si>
  <si>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</si>
  <si>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</si>
  <si>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</si>
  <si>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</si>
  <si>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</si>
  <si>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</si>
  <si>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</si>
  <si>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</si>
  <si>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</si>
  <si>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</si>
  <si>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</si>
  <si>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</si>
  <si>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</si>
  <si>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</si>
  <si>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</si>
  <si>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</si>
  <si>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</si>
  <si>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</si>
  <si>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</si>
  <si>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</si>
  <si>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</si>
  <si>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</si>
  <si>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</si>
  <si>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</si>
  <si>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</si>
  <si>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</si>
  <si>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</si>
  <si>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</si>
  <si>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</si>
  <si>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</si>
  <si>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</si>
  <si>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</si>
  <si>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</si>
  <si>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</si>
  <si>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</si>
  <si>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</si>
  <si>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</si>
  <si>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</si>
  <si>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</si>
  <si>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</si>
  <si>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</si>
  <si>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</si>
  <si>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</si>
  <si>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</si>
  <si>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</si>
  <si>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</si>
  <si>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</si>
  <si>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</si>
  <si>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</si>
  <si>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</si>
  <si>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</si>
  <si>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</si>
  <si>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</si>
  <si>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</si>
  <si>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</si>
  <si>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</si>
  <si>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</si>
  <si>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</si>
  <si>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</si>
  <si>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</si>
  <si>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</si>
  <si>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</si>
  <si>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</si>
  <si>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</si>
  <si>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</si>
  <si>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</si>
  <si>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</si>
  <si>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</si>
  <si>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</si>
  <si>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</si>
  <si>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</si>
  <si>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</si>
  <si>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</si>
  <si>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</si>
  <si>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</si>
  <si>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</si>
  <si>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</si>
  <si>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</si>
  <si>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</si>
  <si>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</si>
  <si>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</si>
  <si>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</si>
  <si>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</si>
  <si>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</si>
  <si>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</si>
  <si>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</si>
  <si>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</si>
  <si>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</si>
  <si>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</si>
  <si>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</si>
  <si>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</si>
  <si>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</si>
  <si>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</si>
  <si>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</si>
  <si>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</si>
  <si>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</si>
  <si>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</si>
  <si>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</si>
  <si>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</si>
  <si>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</si>
  <si>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</si>
  <si>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</si>
  <si>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</si>
  <si>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</si>
  <si>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</si>
  <si>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</si>
  <si>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</si>
  <si>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</si>
  <si>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</si>
  <si>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</si>
  <si>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</si>
  <si>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</si>
  <si>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</si>
  <si>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</si>
  <si>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</si>
  <si>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</si>
  <si>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</si>
  <si>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</si>
  <si>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</si>
  <si>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</si>
  <si>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</si>
  <si>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</si>
  <si>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</si>
  <si>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</si>
  <si>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</si>
  <si>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</si>
  <si>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</si>
  <si>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</si>
  <si>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</si>
  <si>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</si>
  <si>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</si>
  <si>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</si>
  <si>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</si>
  <si>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</si>
  <si>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</si>
  <si>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</si>
  <si>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</si>
  <si>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</si>
  <si>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</si>
  <si>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</si>
  <si>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</si>
  <si>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</si>
  <si>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</si>
  <si>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</si>
  <si>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</si>
  <si>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</si>
  <si>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</si>
  <si>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</si>
  <si>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</si>
  <si>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</si>
  <si>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</si>
  <si>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</si>
  <si>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</si>
  <si>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</si>
  <si>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</si>
  <si>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</si>
  <si>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</si>
  <si>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</si>
  <si>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</si>
  <si>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</si>
  <si>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</si>
  <si>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</si>
  <si>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</si>
  <si>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</si>
  <si>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</si>
  <si>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</si>
  <si>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</si>
  <si>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</si>
  <si>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</si>
  <si>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</si>
  <si>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</si>
  <si>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</si>
  <si>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</si>
  <si>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</si>
  <si>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</si>
  <si>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</si>
  <si>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</si>
  <si>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</si>
  <si>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</si>
  <si>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</si>
  <si>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</si>
  <si>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</si>
  <si>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</si>
  <si>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</si>
  <si>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</si>
  <si>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</si>
  <si>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</si>
  <si>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</si>
  <si>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</si>
  <si>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</si>
  <si>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</si>
  <si>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</si>
  <si>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</si>
  <si>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</si>
  <si>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</si>
  <si>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</si>
  <si>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</si>
  <si>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</si>
  <si>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</si>
  <si>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</si>
  <si>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</si>
  <si>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</si>
  <si>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</si>
  <si>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</si>
  <si>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</si>
  <si>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</si>
  <si>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</si>
  <si>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</si>
  <si>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</si>
  <si>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</si>
  <si>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</si>
  <si>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</si>
  <si>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</si>
  <si>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</si>
  <si>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</si>
  <si>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</si>
  <si>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</si>
  <si>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</si>
  <si>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</si>
  <si>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</si>
  <si>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</si>
  <si>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</si>
  <si>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</si>
  <si>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</si>
  <si>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</si>
  <si>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</si>
  <si>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</si>
  <si>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</si>
  <si>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</si>
  <si>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</si>
  <si>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</si>
  <si>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</si>
  <si>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</si>
  <si>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</si>
  <si>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</si>
  <si>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</si>
  <si>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</si>
  <si>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</si>
  <si>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</si>
  <si>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</si>
  <si>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</si>
  <si>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</si>
  <si>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</si>
  <si>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</si>
  <si>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</si>
  <si>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</si>
  <si>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</si>
  <si>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</si>
  <si>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</si>
  <si>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</si>
  <si>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</si>
  <si>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</si>
  <si>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</si>
  <si>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</si>
  <si>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</si>
  <si>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</si>
  <si>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</si>
  <si>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</si>
  <si>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</si>
  <si>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</si>
  <si>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</si>
  <si>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</si>
  <si>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</si>
  <si>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</si>
  <si>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</si>
  <si>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</si>
  <si>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</si>
  <si>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</si>
  <si>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</si>
  <si>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</si>
  <si>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</si>
  <si>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</si>
  <si>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</si>
  <si>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</si>
  <si>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</si>
  <si>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</si>
  <si>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</si>
  <si>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</si>
  <si>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</si>
  <si>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</si>
  <si>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</si>
  <si>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</si>
  <si>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</si>
  <si>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</si>
  <si>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</si>
  <si>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</si>
  <si>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</si>
  <si>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</si>
  <si>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</si>
  <si>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</si>
  <si>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</si>
  <si>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</si>
  <si>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</si>
  <si>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</si>
  <si>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</si>
  <si>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</si>
  <si>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</si>
  <si>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</si>
  <si>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</si>
  <si>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</si>
  <si>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</si>
  <si>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</si>
  <si>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</si>
  <si>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</si>
  <si>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</si>
  <si>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</si>
  <si>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</si>
  <si>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</si>
  <si>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</si>
  <si>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</si>
  <si>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</si>
  <si>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</si>
  <si>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</si>
  <si>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</si>
  <si>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</si>
  <si>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</si>
  <si>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</si>
  <si>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</si>
  <si>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</si>
  <si>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</si>
  <si>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</si>
  <si>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</si>
  <si>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</si>
  <si>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</si>
  <si>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</si>
  <si>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</si>
  <si>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</si>
  <si>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</si>
  <si>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</si>
  <si>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</si>
  <si>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</si>
  <si>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</si>
  <si>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</si>
  <si>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</si>
  <si>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</si>
  <si>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</si>
  <si>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</si>
  <si>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</si>
  <si>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</si>
  <si>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</si>
  <si>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</si>
  <si>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</si>
  <si>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</si>
  <si>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</si>
  <si>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</si>
  <si>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</si>
  <si>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</si>
  <si>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</si>
  <si>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</si>
  <si>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</si>
  <si>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</si>
  <si>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</si>
  <si>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</si>
  <si>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</si>
  <si>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</si>
  <si>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</si>
  <si>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</si>
  <si>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</si>
  <si>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</si>
  <si>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</si>
  <si>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</si>
  <si>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</si>
  <si>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</si>
  <si>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</si>
  <si>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</si>
  <si>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</si>
  <si>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</si>
  <si>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</si>
  <si>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</si>
  <si>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</si>
  <si>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</si>
  <si>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</si>
  <si>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</si>
  <si>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</si>
  <si>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</si>
  <si>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</si>
  <si>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</si>
  <si>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</si>
  <si>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</si>
  <si>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</si>
  <si>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</si>
  <si>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</si>
  <si>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</si>
  <si>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</si>
  <si>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</si>
  <si>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</si>
  <si>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</si>
  <si>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</si>
  <si>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</si>
  <si>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</si>
  <si>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</si>
  <si>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</si>
  <si>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</si>
  <si>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</si>
  <si>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</si>
  <si>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</si>
  <si>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</si>
  <si>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</si>
  <si>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</si>
  <si>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</si>
  <si>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</si>
  <si>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</si>
  <si>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</si>
  <si>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</si>
  <si>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</si>
  <si>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</si>
  <si>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</si>
  <si>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</si>
  <si>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</si>
  <si>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</si>
  <si>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</si>
  <si>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</si>
  <si>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</si>
  <si>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</si>
  <si>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</si>
  <si>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</si>
  <si>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</si>
  <si>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</si>
  <si>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</si>
  <si>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</si>
  <si>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</si>
  <si>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</si>
  <si>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</si>
  <si>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</si>
  <si>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</si>
  <si>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</si>
  <si>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</si>
  <si>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</si>
  <si>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</si>
  <si>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</si>
  <si>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</si>
  <si>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</si>
  <si>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</si>
  <si>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</si>
  <si>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</si>
  <si>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</si>
  <si>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</si>
  <si>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</si>
  <si>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</si>
  <si>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</si>
  <si>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</si>
  <si>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</si>
  <si>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</si>
  <si>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</si>
  <si>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</si>
  <si>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</si>
  <si>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</si>
  <si>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</si>
  <si>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</si>
  <si>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</si>
  <si>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</si>
  <si>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</si>
  <si>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</si>
  <si>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</si>
  <si>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</si>
  <si>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</si>
  <si>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</si>
  <si>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</si>
  <si>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</si>
  <si>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</si>
  <si>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</si>
  <si>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</si>
  <si>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</si>
  <si>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</si>
  <si>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</si>
  <si>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</si>
  <si>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</si>
  <si>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</si>
  <si>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</si>
  <si>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</si>
  <si>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</si>
  <si>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</si>
  <si>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</si>
  <si>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</si>
  <si>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</si>
  <si>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</si>
  <si>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</si>
  <si>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</si>
  <si>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</si>
  <si>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</si>
  <si>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</si>
  <si>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</si>
  <si>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</si>
  <si>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</si>
  <si>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</si>
  <si>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</si>
  <si>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</si>
  <si>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</si>
  <si>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</si>
  <si>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</si>
  <si>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</si>
  <si>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</si>
  <si>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</si>
  <si>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</si>
  <si>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</si>
  <si>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</si>
  <si>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</si>
  <si>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</si>
  <si>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</si>
  <si>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</si>
  <si>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</si>
  <si>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</si>
  <si>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</si>
  <si>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</si>
  <si>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</si>
  <si>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</si>
  <si>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</si>
  <si>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</si>
  <si>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</si>
  <si>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</si>
  <si>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</si>
  <si>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</si>
  <si>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</si>
  <si>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</si>
  <si>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</si>
  <si>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</si>
  <si>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</si>
  <si>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</si>
  <si>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</si>
  <si>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</si>
  <si>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</si>
  <si>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</si>
  <si>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</si>
  <si>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</si>
  <si>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</si>
  <si>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</si>
  <si>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</si>
  <si>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</si>
  <si>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</si>
  <si>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</si>
  <si>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</si>
  <si>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</si>
  <si>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</si>
  <si>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</si>
  <si>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</si>
  <si>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</si>
  <si>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</si>
  <si>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</si>
  <si>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</si>
  <si>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</si>
  <si>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</si>
  <si>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</si>
  <si>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</si>
  <si>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</si>
  <si>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</si>
  <si>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</si>
  <si>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</si>
  <si>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</si>
  <si>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</si>
  <si>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</si>
  <si>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</si>
  <si>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</si>
  <si>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</si>
  <si>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</si>
  <si>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</si>
  <si>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</si>
  <si>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</si>
  <si>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</si>
  <si>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</si>
  <si>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</si>
  <si>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</si>
  <si>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</si>
  <si>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</si>
  <si>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</si>
  <si>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</si>
  <si>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</si>
  <si>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</si>
  <si>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</si>
  <si>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</si>
  <si>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</si>
  <si>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</si>
  <si>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</si>
  <si>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</si>
  <si>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</si>
  <si>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</si>
  <si>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</si>
  <si>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</si>
  <si>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</si>
  <si>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</si>
  <si>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</si>
  <si>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</si>
  <si>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</si>
  <si>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</si>
  <si>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</si>
  <si>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</si>
  <si>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</si>
  <si>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</si>
  <si>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</si>
  <si>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</si>
  <si>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</si>
  <si>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</si>
  <si>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</si>
  <si>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</si>
  <si>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</si>
  <si>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</si>
  <si>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</si>
  <si>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</si>
  <si>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</si>
  <si>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</si>
  <si>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</si>
  <si>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</si>
  <si>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</si>
  <si>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</si>
  <si>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</si>
  <si>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</si>
  <si>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</si>
  <si>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</si>
  <si>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</si>
  <si>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</si>
  <si>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</si>
  <si>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</si>
  <si>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</si>
  <si>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</si>
  <si>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</si>
  <si>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</si>
  <si>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</si>
  <si>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</si>
  <si>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</si>
  <si>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</si>
  <si>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</si>
  <si>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</si>
  <si>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</si>
  <si>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</si>
  <si>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</si>
  <si>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</si>
  <si>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</si>
  <si>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</si>
  <si>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</si>
  <si>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</si>
  <si>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</si>
  <si>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</si>
  <si>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</si>
  <si>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</si>
  <si>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</si>
  <si>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</si>
  <si>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</si>
  <si>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</si>
  <si>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</si>
  <si>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</si>
  <si>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</si>
  <si>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</si>
  <si>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</si>
  <si>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</si>
  <si>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</si>
  <si>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</si>
  <si>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</si>
  <si>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</si>
  <si>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</si>
  <si>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</si>
  <si>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</si>
  <si>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</si>
  <si>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</si>
  <si>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</si>
  <si>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</si>
  <si>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</si>
  <si>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</si>
  <si>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</si>
  <si>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</si>
  <si>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</si>
  <si>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</si>
  <si>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</si>
  <si>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</si>
  <si>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</si>
  <si>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</si>
  <si>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</si>
  <si>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</si>
  <si>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</si>
  <si>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</si>
  <si>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</si>
  <si>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</si>
  <si>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</si>
  <si>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</si>
  <si>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</si>
  <si>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</si>
  <si>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</si>
  <si>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</si>
  <si>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</si>
  <si>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</si>
  <si>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</si>
  <si>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</si>
  <si>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</si>
  <si>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</si>
  <si>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</si>
  <si>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</si>
  <si>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</si>
  <si>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</si>
  <si>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</si>
  <si>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</si>
  <si>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</si>
  <si>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</si>
  <si>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</si>
  <si>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</si>
  <si>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</si>
  <si>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</si>
  <si>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</si>
  <si>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</si>
  <si>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</si>
  <si>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</si>
  <si>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</si>
  <si>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</si>
  <si>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</si>
  <si>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</si>
  <si>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</si>
  <si>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</si>
  <si>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</si>
  <si>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</si>
  <si>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</si>
  <si>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</si>
  <si>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</si>
  <si>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</si>
  <si>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</si>
  <si>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</si>
  <si>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</si>
  <si>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</si>
  <si>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</si>
  <si>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</si>
  <si>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</si>
  <si>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</si>
  <si>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</si>
  <si>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</si>
  <si>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</si>
  <si>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</si>
  <si>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</si>
  <si>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</si>
  <si>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</si>
  <si>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</si>
  <si>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</si>
  <si>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</si>
  <si>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</si>
  <si>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</si>
  <si>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</si>
  <si>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</si>
  <si>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</si>
  <si>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</si>
  <si>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</si>
  <si>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</si>
  <si>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</si>
  <si>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</si>
  <si>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</si>
  <si>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</si>
  <si>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</si>
  <si>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</si>
  <si>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</si>
  <si>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</si>
  <si>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</si>
  <si>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</si>
  <si>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</si>
  <si>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</si>
  <si>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</si>
  <si>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</si>
  <si>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</si>
  <si>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</si>
  <si>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</si>
  <si>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</si>
  <si>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</si>
  <si>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</si>
  <si>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</si>
  <si>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</si>
  <si>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</si>
  <si>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</si>
  <si>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</si>
  <si>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</si>
  <si>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</si>
  <si>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</si>
  <si>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</si>
  <si>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</si>
  <si>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</si>
  <si>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</si>
  <si>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</si>
  <si>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</si>
  <si>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</si>
  <si>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</si>
  <si>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</si>
  <si>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</si>
  <si>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</si>
  <si>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</si>
  <si>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</si>
  <si>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</si>
  <si>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</si>
  <si>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</si>
  <si>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</si>
  <si>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</si>
  <si>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</si>
  <si>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</si>
  <si>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</si>
  <si>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</si>
  <si>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</si>
  <si>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</si>
  <si>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</si>
  <si>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</si>
  <si>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</si>
  <si>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</si>
  <si>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</si>
  <si>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</si>
  <si>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</si>
  <si>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</si>
  <si>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</si>
  <si>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</si>
  <si>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</si>
  <si>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</si>
  <si>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</si>
  <si>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</si>
  <si>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</si>
  <si>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</si>
  <si>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</si>
  <si>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</si>
  <si>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</si>
  <si>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</si>
  <si>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</si>
  <si>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</si>
  <si>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</si>
  <si>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</si>
  <si>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</si>
  <si>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</si>
  <si>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</si>
  <si>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</si>
  <si>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</si>
  <si>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</si>
  <si>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</si>
  <si>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</si>
  <si>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</si>
  <si>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</si>
  <si>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</si>
  <si>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</si>
  <si>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</si>
  <si>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</si>
  <si>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</si>
  <si>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</si>
  <si>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</si>
  <si>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</si>
  <si>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</si>
  <si>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</si>
  <si>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</si>
  <si>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</si>
  <si>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</si>
  <si>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</si>
  <si>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</si>
  <si>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</si>
  <si>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</si>
  <si>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</si>
  <si>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</si>
  <si>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</si>
  <si>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</si>
  <si>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</si>
  <si>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</si>
  <si>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</si>
  <si>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</si>
  <si>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</si>
  <si>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</si>
  <si>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</si>
  <si>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</si>
  <si>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</si>
  <si>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</si>
  <si>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</si>
  <si>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</si>
  <si>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</si>
  <si>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</si>
  <si>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</si>
  <si>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</si>
  <si>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</si>
  <si>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</si>
  <si>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</si>
  <si>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</si>
  <si>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</si>
  <si>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</si>
  <si>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</si>
  <si>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</si>
  <si>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</si>
  <si>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</si>
  <si>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</si>
  <si>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</si>
  <si>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</si>
  <si>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</si>
  <si>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</si>
  <si>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</si>
  <si>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</si>
  <si>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</si>
  <si>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</si>
  <si>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</si>
  <si>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</si>
  <si>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</si>
  <si>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</si>
  <si>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</si>
  <si>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</si>
  <si>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</si>
  <si>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</si>
  <si>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</si>
  <si>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</si>
  <si>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</si>
  <si>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</si>
  <si>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</si>
  <si>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</si>
  <si>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</si>
  <si>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</si>
  <si>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</si>
  <si>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</si>
  <si>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</si>
  <si>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</si>
  <si>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</si>
  <si>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</si>
  <si>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</si>
  <si>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</si>
  <si>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</si>
  <si>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</si>
  <si>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</si>
  <si>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</si>
  <si>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</si>
  <si>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</si>
  <si>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</si>
  <si>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</si>
  <si>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</si>
  <si>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</si>
  <si>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</si>
  <si>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</si>
  <si>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</si>
  <si>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</si>
  <si>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</si>
  <si>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</si>
  <si>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</si>
  <si>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</si>
  <si>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</si>
  <si>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</si>
  <si>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</si>
  <si>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</si>
  <si>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</si>
  <si>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</si>
  <si>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</si>
  <si>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</si>
  <si>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</si>
  <si>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</si>
  <si>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</si>
  <si>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</si>
  <si>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</si>
  <si>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</si>
  <si>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</si>
  <si>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</si>
  <si>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</si>
  <si>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</si>
  <si>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</si>
  <si>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</si>
  <si>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</si>
  <si>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</si>
  <si>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</si>
  <si>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</si>
  <si>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</si>
  <si>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</si>
  <si>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</si>
  <si>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</si>
  <si>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</si>
  <si>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</si>
  <si>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</si>
  <si>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</si>
  <si>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</si>
  <si>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</si>
  <si>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</si>
  <si>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</si>
  <si>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</si>
  <si>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</si>
  <si>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</si>
  <si>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</si>
  <si>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</si>
  <si>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</si>
  <si>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</si>
  <si>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</si>
  <si>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</si>
  <si>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</si>
  <si>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</si>
  <si>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</si>
  <si>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</si>
  <si>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</si>
  <si>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</si>
  <si>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</si>
  <si>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</si>
  <si>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</si>
  <si>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</si>
  <si>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</si>
  <si>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</si>
  <si>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</si>
  <si>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</si>
  <si>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</si>
  <si>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</si>
  <si>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</si>
  <si>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</si>
  <si>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</si>
  <si>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</si>
  <si>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</si>
  <si>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</si>
  <si>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</si>
  <si>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</si>
  <si>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</si>
  <si>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</si>
  <si>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</si>
  <si>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</si>
  <si>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</si>
  <si>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</si>
  <si>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</si>
  <si>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</si>
  <si>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</si>
  <si>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</si>
  <si>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</si>
  <si>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</si>
  <si>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</si>
  <si>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</si>
  <si>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</si>
  <si>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</si>
  <si>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</si>
  <si>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</si>
  <si>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</si>
  <si>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</si>
  <si>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</si>
  <si>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</si>
  <si>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</si>
  <si>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</si>
  <si>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</si>
  <si>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</si>
  <si>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</si>
  <si>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</si>
  <si>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</si>
  <si>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</si>
  <si>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</si>
  <si>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</si>
  <si>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</si>
  <si>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</si>
  <si>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</si>
  <si>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</si>
  <si>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</si>
  <si>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</si>
  <si>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</si>
  <si>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</si>
  <si>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</si>
  <si>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</si>
  <si>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</si>
  <si>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</si>
  <si>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</si>
  <si>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</si>
  <si>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</si>
  <si>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</si>
  <si>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</si>
  <si>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</si>
  <si>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</si>
  <si>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</si>
  <si>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</si>
  <si>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</si>
  <si>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</si>
  <si>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</si>
  <si>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</si>
  <si>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</si>
  <si>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</si>
  <si>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</si>
  <si>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</si>
  <si>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</si>
  <si>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</si>
  <si>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</si>
  <si>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</si>
  <si>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</si>
  <si>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</si>
  <si>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</si>
  <si>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</si>
  <si>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</si>
  <si>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</si>
  <si>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</si>
  <si>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</si>
  <si>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</si>
  <si>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</si>
  <si>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</si>
  <si>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</si>
  <si>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</si>
  <si>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</si>
  <si>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</si>
  <si>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</si>
  <si>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</si>
  <si>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</si>
  <si>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</si>
  <si>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</si>
  <si>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</si>
  <si>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</si>
  <si>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</si>
  <si>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</si>
  <si>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</si>
  <si>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</si>
  <si>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</si>
  <si>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</si>
  <si>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</si>
  <si>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</si>
  <si>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</si>
  <si>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</si>
  <si>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</si>
  <si>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</si>
  <si>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</si>
  <si>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</si>
  <si>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</si>
  <si>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</si>
  <si>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</si>
  <si>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</si>
  <si>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</si>
  <si>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</si>
  <si>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</si>
  <si>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</si>
  <si>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</si>
  <si>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</si>
  <si>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</si>
  <si>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</si>
  <si>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</si>
  <si>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</si>
  <si>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</si>
  <si>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</si>
  <si>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</si>
  <si>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</si>
  <si>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</si>
  <si>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</si>
  <si>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</si>
  <si>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</si>
  <si>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</si>
  <si>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</si>
  <si>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</si>
  <si>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</si>
  <si>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</si>
  <si>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</si>
  <si>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</si>
  <si>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</si>
  <si>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</si>
  <si>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</si>
  <si>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</si>
  <si>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</si>
  <si>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</si>
  <si>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</si>
  <si>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</si>
  <si>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</si>
  <si>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</si>
  <si>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</si>
  <si>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</si>
  <si>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</si>
  <si>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</si>
  <si>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</si>
  <si>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</si>
  <si>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</si>
  <si>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</si>
  <si>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</si>
  <si>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</si>
  <si>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</si>
  <si>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</si>
  <si>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</si>
  <si>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</si>
  <si>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</si>
  <si>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</si>
  <si>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</si>
  <si>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</si>
  <si>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</si>
  <si>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</si>
  <si>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</si>
  <si>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</si>
  <si>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</si>
  <si>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</si>
  <si>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</si>
  <si>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</si>
  <si>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</si>
  <si>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</si>
  <si>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</si>
  <si>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</si>
  <si>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</si>
  <si>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</si>
  <si>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</si>
  <si>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</si>
  <si>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</si>
  <si>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</si>
  <si>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</si>
  <si>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</si>
  <si>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</si>
  <si>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</si>
  <si>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</si>
  <si>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</si>
  <si>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</si>
  <si>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</si>
  <si>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</si>
  <si>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</si>
  <si>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</si>
  <si>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</si>
  <si>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</si>
  <si>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</si>
  <si>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</si>
  <si>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</si>
  <si>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</si>
  <si>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</si>
  <si>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</si>
  <si>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</si>
  <si>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</si>
  <si>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</si>
  <si>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</si>
  <si>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</si>
  <si>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</si>
  <si>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</si>
  <si>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</si>
  <si>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</si>
  <si>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</si>
  <si>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</si>
  <si>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</si>
  <si>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</si>
  <si>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</si>
  <si>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</si>
  <si>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</si>
  <si>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</si>
  <si>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</si>
  <si>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</si>
  <si>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</si>
  <si>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</si>
  <si>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</si>
  <si>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</si>
  <si>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</si>
  <si>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</si>
  <si>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</si>
  <si>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</si>
  <si>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</si>
  <si>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</si>
  <si>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</si>
  <si>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</si>
  <si>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</si>
  <si>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</si>
  <si>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</si>
  <si>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</si>
  <si>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</si>
  <si>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</si>
  <si>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</si>
  <si>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</si>
  <si>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</si>
  <si>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</si>
  <si>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</si>
  <si>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</si>
  <si>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</si>
  <si>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</si>
  <si>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</si>
  <si>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</si>
  <si>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</si>
  <si>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</si>
  <si>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</si>
  <si>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</si>
  <si>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</si>
  <si>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</si>
  <si>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</si>
  <si>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</si>
  <si>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</si>
  <si>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</si>
  <si>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</si>
  <si>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</si>
  <si>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</si>
  <si>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</si>
  <si>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</si>
  <si>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</si>
  <si>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</si>
  <si>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</si>
  <si>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</si>
  <si>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</si>
  <si>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</si>
  <si>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</si>
  <si>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</si>
  <si>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</si>
  <si>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</si>
  <si>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</si>
  <si>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</si>
  <si>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</si>
  <si>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</si>
  <si>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</si>
  <si>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</si>
  <si>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</si>
  <si>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</si>
  <si>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</si>
  <si>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</si>
  <si>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</si>
  <si>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</si>
  <si>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</si>
  <si>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</si>
  <si>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</si>
  <si>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</si>
  <si>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</si>
  <si>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</si>
  <si>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</si>
  <si>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</si>
  <si>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</si>
  <si>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</si>
  <si>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</si>
  <si>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</si>
  <si>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</si>
  <si>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</si>
  <si>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</si>
  <si>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</si>
  <si>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</si>
  <si>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</si>
  <si>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</si>
  <si>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</si>
  <si>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</si>
  <si>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</si>
  <si>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</si>
  <si>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</si>
  <si>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</si>
  <si>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</si>
  <si>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</si>
  <si>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</si>
  <si>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</si>
  <si>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</si>
  <si>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</si>
  <si>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</si>
  <si>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</si>
  <si>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</si>
  <si>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</si>
  <si>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</si>
  <si>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</si>
  <si>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</si>
  <si>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</si>
  <si>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</si>
  <si>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</si>
  <si>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</si>
  <si>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</si>
  <si>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</si>
  <si>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</si>
  <si>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</si>
  <si>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</si>
  <si>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</si>
  <si>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</si>
  <si>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</si>
  <si>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</si>
  <si>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</si>
  <si>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</si>
  <si>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</si>
  <si>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</si>
  <si>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</si>
  <si>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</si>
  <si>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</si>
  <si>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</si>
  <si>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</si>
  <si>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</si>
  <si>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</si>
  <si>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</si>
  <si>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</si>
  <si>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</si>
  <si>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</si>
  <si>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</si>
  <si>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</si>
  <si>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</si>
  <si>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</si>
  <si>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</si>
  <si>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</si>
  <si>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</si>
  <si>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</si>
  <si>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</si>
  <si>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</si>
  <si>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</si>
  <si>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</si>
  <si>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</si>
  <si>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</si>
  <si>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</si>
  <si>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</si>
  <si>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</si>
  <si>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</si>
  <si>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</si>
  <si>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</si>
  <si>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</si>
  <si>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</si>
  <si>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</si>
  <si>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</si>
  <si>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</si>
  <si>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</si>
  <si>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</si>
  <si>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</si>
  <si>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</si>
  <si>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</si>
  <si>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</si>
  <si>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</si>
  <si>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</si>
  <si>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</si>
  <si>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</si>
  <si>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</si>
  <si>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</si>
  <si>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</si>
  <si>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</si>
  <si>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</si>
  <si>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</si>
  <si>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</si>
  <si>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</si>
  <si>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</si>
  <si>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</si>
  <si>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</si>
  <si>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</si>
  <si>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</si>
  <si>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</si>
  <si>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</si>
  <si>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</si>
  <si>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</si>
  <si>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</si>
  <si>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</si>
  <si>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</si>
  <si>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</si>
  <si>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</si>
  <si>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</si>
  <si>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</si>
  <si>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</si>
  <si>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</si>
  <si>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</si>
  <si>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</si>
  <si>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</si>
  <si>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</si>
  <si>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</si>
  <si>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</si>
  <si>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</si>
  <si>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</si>
  <si>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</si>
  <si>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</si>
  <si>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</si>
  <si>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</si>
  <si>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</si>
  <si>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</si>
  <si>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</si>
  <si>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</si>
  <si>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</si>
  <si>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</si>
  <si>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</si>
  <si>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</si>
  <si>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</si>
  <si>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</si>
  <si>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</si>
  <si>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</si>
  <si>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</si>
  <si>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</si>
  <si>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</si>
  <si>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</si>
  <si>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</si>
  <si>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</si>
  <si>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</si>
  <si>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</si>
  <si>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</si>
  <si>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</si>
  <si>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</si>
  <si>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</si>
  <si>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</si>
  <si>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</si>
  <si>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</si>
  <si>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</si>
  <si>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</si>
  <si>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</si>
  <si>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</si>
  <si>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</si>
  <si>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</si>
  <si>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</si>
  <si>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</si>
  <si>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</si>
  <si>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</si>
  <si>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</si>
  <si>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</si>
  <si>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</si>
  <si>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</si>
  <si>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</si>
  <si>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</si>
  <si>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</si>
  <si>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</si>
  <si>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</si>
  <si>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</si>
  <si>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</si>
  <si>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</si>
  <si>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</si>
  <si>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</si>
  <si>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</si>
  <si>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</si>
  <si>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</si>
  <si>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</si>
  <si>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</si>
  <si>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</si>
  <si>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</si>
  <si>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</si>
  <si>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</si>
  <si>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</si>
  <si>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</si>
  <si>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</si>
  <si>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</si>
  <si>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</si>
  <si>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</si>
  <si>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</si>
  <si>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</si>
  <si>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</si>
  <si>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</si>
  <si>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</si>
  <si>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</si>
  <si>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</si>
  <si>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</si>
  <si>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</si>
  <si>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</si>
  <si>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</si>
  <si>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</si>
  <si>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</si>
  <si>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</si>
  <si>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</si>
  <si>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</si>
  <si>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</si>
  <si>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</si>
  <si>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</si>
  <si>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</si>
  <si>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</si>
  <si>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</si>
  <si>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</si>
  <si>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</si>
  <si>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</si>
  <si>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</si>
  <si>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</si>
  <si>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</si>
  <si>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</si>
  <si>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</si>
  <si>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</si>
  <si>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</si>
  <si>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</si>
  <si>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</si>
  <si>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</si>
  <si>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</si>
  <si>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</si>
  <si>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</si>
  <si>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</si>
  <si>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</si>
  <si>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</si>
  <si>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</si>
  <si>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</si>
  <si>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</si>
  <si>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</si>
  <si>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</si>
  <si>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</si>
  <si>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</si>
  <si>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</si>
  <si>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</si>
  <si>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</si>
  <si>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</si>
  <si>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</si>
  <si>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</si>
  <si>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</si>
  <si>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</si>
  <si>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</si>
  <si>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</si>
  <si>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</si>
  <si>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</si>
  <si>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</si>
  <si>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</si>
  <si>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</si>
  <si>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</si>
  <si>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</si>
  <si>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</si>
  <si>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</si>
  <si>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</si>
  <si>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</si>
  <si>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</si>
  <si>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</si>
  <si>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</si>
  <si>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</si>
  <si>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</si>
  <si>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</si>
  <si>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</si>
  <si>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</si>
  <si>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</si>
  <si>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</si>
  <si>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</si>
  <si>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</si>
  <si>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</si>
  <si>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</si>
  <si>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</si>
  <si>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</si>
  <si>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</si>
  <si>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</si>
  <si>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</si>
  <si>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</si>
  <si>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</si>
  <si>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</si>
  <si>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</si>
  <si>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</si>
  <si>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</si>
  <si>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</si>
  <si>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</si>
  <si>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</si>
  <si>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</si>
  <si>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</si>
  <si>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</si>
  <si>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</si>
  <si>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</si>
  <si>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</si>
  <si>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</si>
  <si>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</si>
  <si>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</si>
  <si>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</si>
  <si>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</si>
  <si>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</si>
  <si>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</si>
  <si>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</si>
  <si>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</si>
  <si>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</si>
  <si>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</si>
  <si>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</si>
  <si>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</si>
  <si>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</si>
  <si>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</si>
  <si>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</si>
  <si>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</si>
  <si>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</si>
  <si>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</si>
  <si>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</si>
  <si>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</si>
  <si>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</si>
  <si>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</si>
  <si>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</si>
  <si>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</si>
  <si>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</si>
  <si>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</si>
  <si>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</si>
  <si>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</si>
  <si>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</si>
  <si>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</si>
  <si>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</si>
  <si>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</si>
  <si>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</si>
  <si>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</si>
  <si>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</si>
  <si>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</si>
  <si>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</si>
  <si>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</si>
  <si>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</si>
  <si>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</si>
  <si>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</si>
  <si>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</si>
  <si>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</si>
  <si>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</si>
  <si>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</si>
  <si>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</si>
  <si>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</si>
  <si>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</si>
  <si>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</si>
  <si>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</si>
  <si>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</si>
  <si>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</si>
  <si>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</si>
  <si>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</si>
  <si>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</si>
  <si>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</si>
  <si>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</si>
  <si>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</si>
  <si>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</si>
  <si>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</si>
  <si>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</si>
  <si>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</si>
  <si>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</si>
  <si>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</si>
  <si>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</si>
  <si>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</si>
  <si>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</si>
  <si>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</si>
  <si>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</si>
  <si>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</si>
  <si>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</si>
  <si>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</si>
  <si>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</si>
  <si>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</si>
  <si>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</si>
  <si>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</si>
  <si>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</si>
  <si>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</si>
  <si>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</si>
  <si>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</si>
  <si>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</si>
  <si>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</si>
  <si>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</si>
  <si>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</si>
  <si>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</si>
  <si>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</si>
  <si>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</si>
  <si>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</si>
  <si>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</si>
  <si>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</si>
  <si>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</si>
  <si>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</si>
  <si>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</si>
  <si>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</si>
  <si>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</si>
  <si>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</si>
  <si>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</si>
  <si>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</si>
  <si>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</si>
  <si>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</si>
  <si>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</si>
  <si>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</si>
  <si>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</si>
  <si>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</si>
  <si>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</si>
  <si>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</si>
  <si>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</si>
  <si>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</si>
  <si>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</si>
  <si>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</si>
  <si>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</si>
  <si>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</si>
  <si>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</si>
  <si>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</si>
  <si>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</si>
  <si>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</si>
  <si>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</si>
  <si>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</si>
  <si>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</si>
  <si>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</si>
  <si>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</si>
  <si>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</si>
  <si>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</si>
  <si>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</si>
  <si>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</si>
  <si>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</si>
  <si>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</si>
  <si>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</si>
  <si>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</si>
  <si>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</si>
  <si>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</si>
  <si>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</si>
  <si>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</si>
  <si>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</si>
  <si>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</si>
  <si>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</si>
  <si>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</si>
  <si>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</si>
  <si>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</si>
  <si>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</si>
  <si>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</si>
  <si>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</si>
  <si>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</si>
  <si>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</si>
  <si>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</si>
  <si>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</si>
  <si>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</si>
  <si>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</si>
  <si>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</si>
  <si>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</si>
  <si>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</si>
  <si>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</si>
  <si>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</si>
  <si>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</si>
  <si>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</si>
  <si>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</si>
  <si>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</si>
  <si>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</si>
  <si>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</si>
  <si>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</si>
  <si>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</si>
  <si>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</si>
  <si>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</si>
  <si>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</si>
  <si>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</si>
  <si>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</si>
  <si>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</si>
  <si>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</si>
  <si>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</si>
  <si>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</si>
  <si>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</si>
  <si>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</si>
  <si>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</si>
  <si>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</si>
  <si>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</si>
  <si>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</si>
  <si>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</si>
  <si>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</si>
  <si>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</si>
  <si>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</si>
  <si>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</si>
  <si>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</si>
  <si>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</si>
  <si>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</si>
  <si>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</si>
  <si>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</si>
  <si>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</si>
  <si>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</si>
  <si>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</si>
  <si>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</si>
  <si>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</si>
  <si>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</si>
  <si>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</si>
  <si>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</si>
  <si>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</si>
  <si>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</si>
  <si>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</si>
  <si>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</si>
  <si>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</si>
  <si>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</si>
  <si>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</si>
  <si>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</si>
  <si>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</si>
  <si>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</si>
  <si>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</si>
  <si>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</si>
  <si>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</si>
  <si>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</si>
  <si>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</si>
  <si>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</si>
  <si>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</si>
  <si>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</si>
  <si>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</si>
  <si>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</si>
  <si>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</si>
  <si>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</si>
  <si>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</si>
  <si>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</si>
  <si>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</si>
  <si>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</si>
  <si>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</si>
  <si>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</si>
  <si>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</si>
  <si>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</si>
  <si>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</si>
  <si>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</si>
  <si>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</si>
  <si>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</si>
  <si>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</si>
  <si>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</si>
  <si>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</si>
  <si>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</si>
  <si>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</si>
  <si>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</si>
  <si>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</si>
  <si>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</si>
  <si>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</si>
  <si>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</si>
  <si>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</si>
  <si>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</si>
  <si>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</si>
  <si>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</si>
  <si>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</si>
  <si>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</si>
  <si>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</si>
  <si>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</si>
  <si>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</si>
  <si>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</si>
  <si>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</si>
  <si>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</si>
  <si>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</si>
  <si>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</si>
  <si>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</si>
  <si>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</si>
  <si>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</si>
  <si>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</si>
  <si>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</si>
  <si>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</si>
  <si>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</si>
  <si>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</si>
  <si>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</si>
  <si>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</si>
  <si>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</si>
  <si>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</si>
  <si>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</si>
  <si>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</si>
  <si>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</si>
  <si>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</si>
  <si>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</si>
  <si>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</si>
  <si>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</si>
  <si>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</si>
  <si>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</si>
  <si>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</si>
  <si>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</si>
  <si>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</si>
  <si>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</si>
  <si>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</si>
  <si>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</si>
  <si>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</si>
  <si>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</si>
  <si>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</si>
  <si>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</si>
  <si>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</si>
  <si>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</si>
  <si>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</si>
  <si>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</si>
  <si>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</si>
  <si>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</si>
  <si>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</si>
  <si>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</si>
  <si>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</si>
  <si>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</si>
  <si>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</si>
  <si>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</si>
  <si>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</si>
  <si>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</si>
  <si>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</si>
  <si>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</si>
  <si>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</si>
  <si>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</si>
  <si>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</si>
  <si>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</si>
  <si>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</si>
  <si>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</si>
  <si>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</si>
  <si>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</si>
  <si>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</si>
  <si>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</si>
  <si>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</si>
  <si>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</si>
  <si>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</si>
  <si>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</si>
  <si>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</si>
  <si>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</si>
  <si>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</si>
  <si>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</si>
  <si>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</si>
  <si>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</si>
  <si>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</si>
  <si>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</si>
  <si>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</si>
  <si>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</si>
  <si>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</si>
  <si>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</si>
  <si>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</si>
  <si>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</si>
  <si>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</si>
  <si>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</si>
  <si>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</si>
  <si>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</si>
  <si>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</si>
  <si>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</si>
  <si>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</si>
  <si>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</si>
  <si>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</si>
  <si>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</si>
  <si>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</si>
  <si>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</si>
  <si>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</si>
  <si>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</si>
  <si>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</si>
  <si>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</si>
  <si>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</si>
  <si>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</si>
  <si>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</si>
  <si>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</si>
  <si>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</si>
  <si>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</si>
  <si>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</si>
  <si>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</si>
  <si>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</si>
  <si>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</si>
  <si>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</si>
  <si>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</si>
  <si>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</si>
  <si>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</si>
  <si>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</si>
  <si>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</si>
  <si>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</si>
  <si>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</si>
  <si>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</si>
  <si>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</si>
  <si>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</si>
  <si>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</si>
  <si>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</si>
  <si>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</si>
  <si>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</si>
  <si>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</si>
  <si>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</si>
  <si>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</si>
  <si>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</si>
  <si>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</si>
  <si>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</si>
  <si>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</si>
  <si>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</si>
  <si>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</si>
  <si>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</si>
  <si>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</si>
  <si>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</si>
  <si>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</si>
  <si>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</si>
  <si>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</si>
  <si>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</si>
  <si>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</si>
  <si>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</si>
  <si>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</si>
  <si>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</si>
  <si>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</si>
  <si>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</si>
  <si>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</si>
  <si>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</si>
  <si>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</si>
  <si>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</si>
  <si>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</si>
  <si>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</si>
  <si>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</si>
  <si>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</si>
  <si>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</si>
  <si>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</si>
  <si>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</si>
  <si>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</si>
  <si>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</si>
  <si>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</si>
  <si>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</si>
  <si>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</si>
  <si>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</si>
  <si>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</si>
  <si>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</si>
  <si>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</si>
  <si>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</si>
  <si>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</si>
  <si>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</si>
  <si>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</si>
  <si>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</si>
  <si>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</si>
  <si>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</si>
  <si>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</si>
  <si>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</si>
  <si>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</si>
  <si>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</si>
  <si>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</si>
  <si>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</si>
  <si>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</si>
  <si>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</si>
  <si>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</si>
  <si>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</si>
  <si>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</si>
  <si>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</si>
  <si>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</si>
  <si>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</si>
  <si>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</si>
  <si>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</si>
  <si>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</si>
  <si>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</si>
  <si>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</si>
  <si>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</si>
  <si>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</si>
  <si>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</si>
  <si>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</si>
  <si>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</si>
  <si>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</si>
  <si>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</si>
  <si>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</si>
  <si>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</si>
  <si>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</si>
  <si>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</si>
  <si>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</si>
  <si>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</si>
  <si>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</si>
  <si>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</si>
  <si>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</si>
  <si>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</si>
  <si>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</si>
  <si>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</si>
  <si>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</si>
  <si>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</si>
  <si>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</si>
  <si>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</si>
  <si>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</si>
  <si>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</si>
  <si>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</si>
  <si>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</si>
  <si>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</si>
  <si>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</si>
  <si>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</si>
  <si>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</si>
  <si>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</si>
  <si>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</si>
  <si>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</si>
  <si>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</si>
  <si>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</si>
  <si>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</si>
  <si>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</si>
  <si>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</si>
  <si>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</si>
  <si>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</si>
  <si>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</si>
  <si>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</si>
  <si>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</si>
  <si>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</si>
  <si>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</si>
  <si>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</si>
  <si>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</si>
  <si>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</si>
  <si>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</si>
  <si>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</si>
  <si>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</si>
  <si>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</si>
  <si>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</si>
  <si>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</si>
  <si>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</si>
  <si>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</si>
  <si>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</si>
  <si>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</si>
  <si>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</si>
  <si>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</si>
  <si>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</si>
  <si>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</si>
  <si>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</si>
  <si>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</si>
  <si>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</si>
  <si>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</si>
  <si>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</si>
  <si>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</si>
  <si>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</si>
  <si>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</si>
  <si>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</si>
  <si>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</si>
  <si>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</si>
  <si>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</si>
  <si>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</si>
  <si>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</si>
  <si>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</si>
  <si>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</si>
  <si>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</si>
  <si>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</si>
  <si>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</si>
  <si>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</si>
  <si>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</si>
  <si>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</si>
  <si>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</si>
  <si>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</si>
  <si>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</si>
  <si>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</si>
  <si>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</si>
  <si>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</si>
  <si>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</si>
  <si>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</si>
  <si>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</si>
  <si>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</si>
  <si>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</si>
  <si>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</si>
  <si>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</si>
  <si>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</si>
  <si>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</si>
  <si>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</si>
  <si>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</si>
  <si>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</si>
  <si>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</si>
  <si>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</si>
  <si>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</si>
  <si>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</si>
  <si>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</si>
  <si>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</si>
  <si>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</si>
  <si>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</si>
  <si>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</si>
  <si>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</si>
  <si>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</si>
  <si>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</si>
  <si>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</si>
  <si>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</si>
  <si>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</si>
  <si>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</si>
  <si>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</si>
  <si>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</si>
  <si>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</si>
  <si>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</si>
  <si>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</si>
  <si>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</si>
  <si>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</si>
  <si>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</si>
  <si>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</si>
  <si>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</si>
  <si>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</si>
  <si>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</si>
  <si>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</si>
  <si>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</si>
  <si>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</si>
  <si>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</si>
  <si>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</si>
  <si>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</si>
  <si>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</si>
  <si>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</si>
  <si>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</si>
  <si>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</si>
  <si>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</si>
  <si>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</si>
  <si>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</si>
  <si>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</si>
  <si>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</si>
  <si>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</si>
  <si>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</si>
  <si>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</si>
  <si>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</si>
  <si>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</si>
  <si>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</si>
  <si>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</si>
  <si>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</si>
  <si>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</si>
  <si>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</si>
  <si>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</si>
  <si>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</si>
  <si>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</si>
  <si>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</si>
  <si>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</si>
  <si>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</si>
  <si>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</si>
  <si>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</si>
  <si>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</si>
  <si>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</si>
  <si>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</si>
  <si>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</si>
  <si>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</si>
  <si>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</si>
  <si>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</si>
  <si>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</si>
  <si>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</si>
  <si>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</si>
  <si>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</si>
  <si>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</si>
  <si>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</si>
  <si>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</si>
  <si>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</si>
  <si>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</si>
  <si>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</si>
  <si>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</si>
  <si>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</si>
  <si>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</si>
  <si>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</si>
  <si>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</si>
  <si>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</si>
  <si>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</si>
  <si>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</si>
  <si>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</si>
  <si>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</si>
  <si>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</si>
  <si>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</si>
  <si>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</si>
  <si>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</si>
  <si>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</si>
  <si>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</si>
  <si>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</si>
  <si>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</si>
  <si>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</si>
  <si>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</si>
  <si>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</si>
  <si>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</si>
  <si>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</si>
  <si>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</si>
  <si>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</si>
  <si>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</si>
  <si>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</si>
  <si>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</si>
  <si>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</si>
  <si>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</si>
  <si>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</si>
  <si>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</si>
  <si>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</si>
  <si>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</si>
  <si>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</si>
  <si>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</si>
  <si>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</si>
  <si>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</si>
  <si>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</si>
  <si>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</si>
  <si>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</si>
  <si>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</si>
  <si>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</si>
  <si>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</si>
  <si>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</si>
  <si>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</si>
  <si>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</si>
  <si>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</si>
  <si>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</si>
  <si>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</si>
  <si>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</si>
  <si>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</si>
  <si>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</si>
  <si>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</si>
  <si>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</si>
  <si>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</si>
  <si>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</si>
  <si>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</si>
  <si>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</si>
  <si>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</si>
  <si>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</si>
  <si>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</si>
  <si>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</si>
  <si>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</si>
  <si>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</si>
  <si>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</si>
  <si>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</si>
  <si>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</si>
  <si>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</si>
  <si>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</si>
  <si>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</si>
  <si>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</si>
  <si>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</si>
  <si>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</si>
  <si>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</si>
  <si>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</si>
  <si>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</si>
  <si>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</si>
  <si>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</si>
  <si>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</si>
  <si>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</si>
  <si>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</si>
  <si>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</si>
  <si>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</si>
  <si>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</si>
  <si>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</si>
  <si>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</si>
  <si>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</si>
  <si>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</si>
  <si>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</si>
  <si>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</si>
  <si>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</si>
  <si>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</si>
  <si>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</si>
  <si>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</si>
  <si>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</si>
  <si>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</si>
  <si>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</si>
  <si>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</si>
  <si>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</si>
  <si>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</si>
  <si>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</si>
  <si>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</si>
  <si>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</si>
  <si>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</si>
  <si>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</si>
  <si>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</si>
  <si>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</si>
  <si>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</si>
  <si>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</si>
  <si>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</si>
  <si>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</si>
  <si>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</si>
  <si>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</si>
  <si>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</si>
  <si>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</si>
  <si>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</si>
  <si>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</si>
  <si>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</si>
  <si>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</si>
  <si>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</si>
  <si>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</si>
  <si>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</si>
  <si>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</si>
  <si>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</si>
  <si>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</si>
  <si>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</si>
  <si>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</si>
  <si>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</si>
  <si>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</si>
  <si>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</si>
  <si>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</si>
  <si>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</si>
  <si>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</si>
  <si>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</si>
  <si>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</si>
  <si>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</si>
  <si>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</si>
  <si>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</si>
  <si>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</si>
  <si>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</si>
  <si>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</si>
  <si>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</si>
  <si>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</si>
  <si>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</si>
  <si>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</si>
  <si>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</si>
  <si>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</si>
  <si>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</si>
  <si>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</si>
  <si>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</si>
  <si>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</si>
  <si>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</si>
  <si>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</si>
  <si>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</si>
  <si>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</si>
  <si>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</si>
  <si>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</si>
  <si>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</si>
  <si>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</si>
  <si>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</si>
  <si>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</si>
  <si>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</si>
  <si>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</si>
  <si>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</si>
  <si>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</si>
  <si>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</si>
  <si>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</si>
  <si>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</si>
  <si>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</si>
  <si>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</si>
  <si>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</si>
  <si>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</si>
  <si>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</si>
  <si>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</si>
  <si>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</si>
  <si>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</si>
  <si>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</si>
  <si>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</si>
  <si>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</si>
  <si>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</si>
  <si>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</si>
  <si>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</si>
  <si>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</si>
  <si>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</si>
  <si>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</si>
  <si>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</si>
  <si>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</si>
  <si>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</si>
  <si>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</si>
  <si>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</si>
  <si>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</si>
  <si>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</si>
  <si>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</si>
  <si>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</si>
  <si>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</si>
  <si>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</si>
  <si>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</si>
  <si>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</si>
  <si>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</si>
  <si>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</si>
  <si>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</si>
  <si>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</si>
  <si>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</si>
  <si>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</si>
  <si>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</si>
  <si>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</si>
  <si>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</si>
  <si>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</si>
  <si>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</si>
  <si>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</si>
  <si>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</si>
  <si>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</si>
  <si>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</si>
  <si>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</si>
  <si>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</si>
  <si>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</si>
  <si>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</si>
  <si>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</si>
  <si>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</si>
  <si>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</si>
  <si>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</si>
  <si>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</si>
  <si>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</si>
  <si>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</si>
  <si>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</si>
  <si>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</si>
  <si>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</si>
  <si>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</si>
  <si>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</si>
  <si>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</si>
  <si>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</si>
  <si>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</si>
  <si>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</si>
  <si>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</si>
  <si>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</si>
  <si>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</si>
  <si>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</si>
  <si>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</si>
  <si>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</si>
  <si>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</si>
  <si>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</si>
  <si>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</si>
  <si>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</si>
  <si>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</si>
  <si>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</si>
  <si>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</si>
  <si>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</si>
  <si>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</si>
  <si>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</si>
  <si>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</si>
  <si>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</si>
  <si>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</si>
  <si>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</si>
  <si>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</si>
  <si>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</si>
  <si>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</si>
  <si>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</si>
  <si>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</si>
  <si>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</si>
  <si>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</si>
  <si>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</si>
  <si>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</si>
  <si>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</si>
  <si>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</si>
  <si>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</si>
  <si>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</si>
  <si>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</si>
  <si>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</si>
  <si>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</si>
  <si>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</si>
  <si>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</si>
  <si>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</si>
  <si>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</si>
  <si>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</si>
  <si>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</si>
  <si>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</si>
  <si>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</si>
  <si>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</si>
  <si>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</si>
  <si>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</si>
  <si>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</si>
  <si>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</si>
  <si>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</si>
  <si>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</si>
  <si>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</si>
  <si>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</si>
  <si>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</si>
  <si>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</si>
  <si>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</si>
  <si>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</si>
  <si>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</si>
  <si>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</si>
  <si>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</si>
  <si>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</si>
  <si>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</si>
  <si>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</si>
  <si>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</si>
  <si>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</si>
  <si>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</si>
  <si>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</si>
  <si>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</si>
  <si>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</si>
  <si>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</si>
  <si>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</si>
  <si>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</si>
  <si>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</si>
  <si>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</si>
  <si>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</si>
  <si>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</si>
  <si>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</si>
  <si>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</si>
  <si>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</si>
  <si>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</si>
  <si>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</si>
  <si>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</si>
  <si>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</si>
  <si>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</si>
  <si>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</si>
  <si>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</si>
  <si>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</si>
  <si>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</si>
  <si>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</si>
  <si>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</si>
  <si>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</si>
  <si>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</si>
  <si>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</si>
  <si>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</si>
  <si>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</si>
  <si>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</si>
  <si>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</si>
  <si>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</si>
  <si>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</si>
  <si>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</si>
  <si>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</si>
  <si>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</si>
  <si>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</si>
  <si>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</si>
  <si>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</si>
  <si>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</si>
  <si>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</si>
  <si>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</si>
  <si>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</si>
  <si>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</si>
  <si>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</si>
  <si>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</si>
  <si>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</si>
  <si>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</si>
  <si>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</si>
  <si>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</si>
  <si>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</si>
  <si>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</si>
  <si>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</si>
  <si>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</si>
  <si>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</si>
  <si>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</si>
  <si>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</si>
  <si>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</si>
  <si>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</si>
  <si>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</si>
  <si>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</si>
  <si>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</si>
  <si>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</si>
  <si>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</si>
  <si>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</si>
  <si>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</si>
  <si>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</si>
  <si>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</si>
  <si>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</si>
  <si>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</si>
  <si>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</si>
  <si>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</si>
  <si>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</si>
  <si>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</si>
  <si>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</si>
  <si>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</si>
  <si>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</si>
  <si>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</si>
  <si>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</si>
  <si>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</si>
  <si>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</si>
  <si>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</si>
  <si>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</si>
  <si>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</si>
  <si>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</si>
  <si>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</si>
  <si>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</si>
  <si>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</si>
  <si>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</si>
  <si>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</si>
  <si>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</si>
  <si>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</si>
  <si>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</si>
  <si>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</si>
  <si>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</si>
  <si>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</si>
  <si>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</si>
  <si>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</si>
  <si>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</si>
  <si>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</si>
  <si>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</si>
  <si>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</si>
  <si>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</si>
  <si>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</si>
  <si>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</si>
  <si>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</si>
  <si>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</si>
  <si>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</si>
  <si>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</si>
  <si>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</si>
  <si>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</si>
  <si>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</si>
  <si>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</si>
  <si>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</si>
  <si>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</si>
  <si>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</si>
  <si>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</si>
  <si>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</si>
  <si>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</si>
  <si>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</si>
  <si>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</si>
  <si>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</si>
  <si>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</si>
  <si>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</si>
  <si>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</si>
  <si>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</si>
  <si>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</si>
  <si>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</si>
  <si>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</si>
  <si>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</si>
  <si>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</si>
  <si>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</si>
  <si>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</si>
  <si>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</si>
  <si>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</si>
  <si>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</si>
  <si>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</si>
  <si>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</si>
  <si>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</si>
  <si>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</si>
  <si>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</si>
  <si>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</si>
  <si>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</si>
  <si>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</si>
  <si>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</si>
  <si>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</si>
  <si>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</si>
  <si>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</si>
  <si>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</si>
  <si>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</si>
  <si>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</si>
  <si>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</si>
  <si>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</si>
  <si>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</si>
  <si>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</si>
  <si>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</si>
  <si>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</si>
  <si>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</si>
  <si>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</si>
  <si>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</si>
  <si>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</si>
  <si>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</si>
  <si>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</si>
  <si>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</si>
  <si>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</si>
  <si>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</si>
  <si>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</si>
  <si>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</si>
  <si>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</si>
  <si>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</si>
  <si>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</si>
  <si>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</si>
  <si>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</si>
  <si>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</si>
  <si>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</si>
  <si>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</si>
  <si>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</si>
  <si>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</si>
  <si>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</si>
  <si>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</si>
  <si>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</si>
  <si>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</si>
  <si>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</si>
  <si>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</si>
  <si>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</si>
  <si>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</si>
  <si>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</si>
  <si>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</si>
  <si>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</si>
  <si>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</si>
  <si>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</si>
  <si>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</si>
  <si>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</si>
  <si>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</si>
  <si>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</si>
  <si>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</si>
  <si>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</si>
  <si>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</si>
  <si>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</si>
  <si>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</si>
  <si>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</si>
  <si>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</si>
  <si>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</si>
  <si>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</si>
  <si>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</si>
  <si>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</si>
  <si>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</si>
  <si>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</si>
  <si>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</si>
  <si>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</si>
  <si>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</si>
  <si>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</si>
  <si>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</si>
  <si>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</si>
  <si>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</si>
  <si>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</si>
  <si>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</si>
  <si>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</si>
  <si>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</si>
  <si>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</si>
  <si>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</si>
  <si>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</si>
  <si>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</si>
  <si>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</si>
  <si>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</si>
  <si>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</si>
  <si>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</si>
  <si>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</si>
  <si>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</si>
  <si>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</si>
  <si>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</si>
  <si>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</si>
  <si>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</si>
  <si>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</si>
  <si>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</si>
  <si>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</si>
  <si>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</si>
  <si>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</si>
  <si>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</si>
  <si>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</si>
  <si>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</si>
  <si>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</si>
  <si>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</si>
  <si>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</si>
  <si>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</si>
  <si>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</si>
  <si>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</si>
  <si>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</si>
  <si>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</si>
  <si>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</si>
  <si>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</si>
  <si>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</si>
  <si>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</si>
  <si>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</si>
  <si>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</si>
  <si>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</si>
  <si>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</si>
  <si>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</si>
  <si>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</si>
  <si>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</si>
  <si>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</si>
  <si>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</si>
  <si>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</si>
  <si>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</si>
  <si>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</si>
  <si>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</si>
  <si>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</si>
  <si>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</si>
  <si>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</si>
  <si>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</si>
  <si>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</si>
  <si>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</si>
  <si>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</si>
  <si>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</si>
  <si>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</si>
  <si>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</si>
  <si>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</si>
  <si>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</si>
  <si>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</si>
  <si>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</si>
  <si>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</si>
  <si>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</si>
  <si>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</si>
  <si>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</si>
  <si>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</si>
  <si>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</si>
  <si>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</si>
  <si>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</si>
  <si>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</si>
  <si>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</si>
  <si>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</si>
  <si>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</si>
  <si>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</si>
  <si>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</si>
  <si>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</si>
  <si>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</si>
  <si>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</si>
  <si>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</si>
  <si>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</si>
  <si>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</si>
  <si>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</si>
  <si>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</si>
  <si>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</si>
  <si>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</si>
  <si>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</si>
  <si>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</si>
  <si>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</si>
  <si>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</si>
  <si>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</si>
  <si>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</si>
  <si>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</si>
  <si>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</si>
  <si>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</si>
  <si>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</si>
  <si>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</si>
  <si>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</si>
  <si>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</si>
  <si>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</si>
  <si>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</si>
  <si>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</si>
  <si>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</si>
  <si>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</si>
  <si>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</si>
  <si>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</si>
  <si>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</si>
  <si>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</si>
  <si>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</si>
  <si>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</si>
  <si>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</si>
  <si>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</si>
  <si>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</si>
  <si>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</si>
  <si>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</si>
  <si>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</si>
  <si>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</si>
  <si>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</si>
  <si>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</si>
  <si>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</si>
  <si>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</si>
  <si>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</si>
  <si>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</si>
  <si>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</si>
  <si>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</si>
  <si>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</si>
  <si>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</si>
  <si>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</si>
  <si>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</si>
  <si>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</si>
  <si>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</si>
  <si>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</si>
  <si>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</si>
  <si>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</si>
  <si>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</si>
  <si>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</si>
  <si>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</si>
  <si>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</si>
  <si>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</si>
  <si>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</si>
  <si>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</si>
  <si>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</si>
  <si>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</si>
  <si>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</si>
  <si>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</si>
  <si>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</si>
  <si>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</si>
  <si>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</si>
  <si>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</si>
  <si>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</si>
  <si>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</si>
  <si>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</si>
  <si>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</si>
  <si>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</si>
  <si>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</si>
  <si>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</si>
  <si>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</si>
  <si>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</si>
  <si>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</si>
  <si>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</si>
  <si>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</si>
  <si>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</si>
  <si>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</si>
  <si>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</si>
  <si>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</si>
  <si>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</si>
  <si>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</si>
  <si>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</si>
  <si>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</si>
  <si>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</si>
  <si>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</si>
  <si>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</si>
  <si>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</si>
  <si>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</si>
  <si>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</si>
  <si>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</si>
  <si>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</si>
  <si>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</si>
  <si>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</si>
  <si>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</si>
  <si>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</si>
  <si>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</si>
  <si>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</si>
  <si>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</si>
  <si>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</si>
  <si>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</si>
  <si>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</si>
  <si>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</si>
  <si>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</si>
  <si>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</si>
  <si>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</si>
  <si>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</si>
  <si>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</si>
  <si>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</si>
  <si>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</si>
  <si>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</si>
  <si>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</si>
  <si>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</si>
  <si>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</si>
  <si>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</si>
  <si>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</si>
  <si>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</si>
  <si>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</si>
  <si>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</si>
  <si>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</si>
  <si>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</si>
  <si>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</si>
  <si>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</si>
  <si>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</si>
  <si>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</si>
  <si>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</si>
  <si>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</si>
  <si>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</si>
  <si>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</si>
  <si>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</si>
  <si>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</si>
  <si>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</si>
  <si>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</si>
  <si>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</si>
  <si>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</si>
  <si>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</si>
  <si>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</si>
  <si>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</si>
  <si>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</si>
  <si>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</si>
  <si>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</si>
  <si>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</si>
  <si>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</si>
  <si>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</si>
  <si>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</si>
  <si>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</si>
  <si>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</si>
  <si>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</si>
  <si>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</si>
  <si>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</si>
  <si>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</si>
  <si>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</si>
  <si>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</si>
  <si>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</si>
  <si>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</si>
  <si>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</si>
  <si>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</si>
  <si>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</si>
  <si>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</si>
  <si>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</si>
  <si>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</si>
  <si>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</si>
  <si>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</si>
  <si>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</si>
  <si>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</si>
  <si>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</si>
  <si>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</si>
  <si>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</si>
  <si>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</si>
  <si>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</si>
  <si>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</si>
  <si>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</si>
  <si>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</si>
  <si>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</si>
  <si>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</si>
  <si>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</si>
  <si>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</si>
  <si>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</si>
  <si>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</si>
  <si>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</si>
  <si>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</si>
  <si>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</si>
  <si>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</si>
  <si>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</si>
  <si>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</si>
  <si>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</si>
  <si>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</si>
  <si>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</si>
  <si>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</si>
  <si>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</si>
  <si>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</si>
  <si>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</si>
  <si>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</si>
  <si>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</si>
  <si>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</si>
  <si>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</si>
  <si>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</si>
  <si>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</si>
  <si>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</si>
  <si>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</si>
  <si>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</si>
  <si>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</si>
  <si>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</si>
  <si>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</si>
  <si>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</si>
  <si>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</si>
  <si>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</si>
  <si>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</si>
  <si>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</si>
  <si>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</si>
  <si>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</si>
  <si>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</si>
  <si>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</si>
  <si>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</si>
  <si>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</si>
  <si>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</si>
  <si>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</si>
  <si>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</si>
  <si>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</si>
  <si>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</si>
  <si>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</si>
  <si>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</si>
  <si>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</si>
  <si>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</si>
  <si>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</si>
  <si>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</si>
  <si>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</si>
  <si>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</si>
  <si>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</si>
  <si>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</si>
  <si>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</si>
  <si>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</si>
  <si>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</si>
  <si>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</si>
  <si>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</si>
  <si>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</si>
  <si>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</si>
  <si>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</si>
  <si>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</si>
  <si>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</si>
  <si>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</si>
  <si>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</si>
  <si>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</si>
  <si>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</si>
  <si>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</si>
  <si>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</si>
  <si>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</si>
  <si>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</si>
  <si>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</si>
  <si>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</si>
  <si>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</si>
  <si>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</si>
  <si>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</si>
  <si>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</si>
  <si>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</si>
  <si>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</si>
  <si>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</si>
  <si>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</si>
  <si>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</si>
  <si>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</si>
  <si>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</si>
  <si>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</si>
  <si>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</si>
  <si>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</si>
  <si>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</si>
  <si>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</si>
  <si>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</si>
  <si>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</si>
  <si>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</si>
  <si>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</si>
  <si>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</si>
  <si>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</si>
  <si>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</si>
  <si>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</si>
  <si>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</si>
  <si>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</si>
  <si>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</si>
  <si>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</si>
  <si>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</si>
  <si>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</si>
  <si>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</si>
  <si>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</si>
  <si>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</si>
  <si>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</si>
  <si>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</si>
  <si>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</si>
  <si>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</si>
  <si>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</si>
  <si>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</si>
  <si>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</si>
  <si>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</si>
  <si>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</si>
  <si>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</si>
  <si>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</si>
  <si>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</si>
  <si>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</si>
  <si>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</si>
  <si>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</si>
  <si>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</si>
  <si>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</si>
  <si>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</si>
  <si>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</si>
  <si>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</si>
  <si>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</si>
  <si>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</si>
  <si>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</si>
  <si>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</si>
  <si>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</si>
  <si>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</si>
  <si>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</si>
  <si>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</si>
  <si>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</si>
  <si>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</si>
  <si>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</si>
  <si>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</si>
  <si>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</si>
  <si>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</si>
  <si>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</si>
  <si>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</si>
  <si>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</si>
  <si>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</si>
  <si>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</si>
  <si>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</si>
  <si>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</si>
  <si>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</si>
  <si>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</si>
  <si>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</si>
  <si>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</si>
  <si>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</si>
  <si>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</si>
  <si>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</si>
  <si>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</si>
  <si>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</si>
  <si>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</si>
  <si>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</si>
  <si>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</si>
  <si>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</si>
  <si>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</si>
  <si>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</si>
  <si>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</si>
  <si>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</si>
  <si>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</si>
  <si>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</si>
  <si>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</si>
  <si>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</si>
  <si>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</si>
  <si>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</si>
  <si>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</si>
  <si>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</si>
  <si>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</si>
  <si>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</si>
  <si>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</si>
  <si>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</si>
  <si>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</si>
  <si>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</si>
  <si>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</si>
  <si>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</si>
  <si>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</si>
  <si>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</si>
  <si>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</si>
  <si>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</si>
  <si>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</si>
  <si>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</si>
  <si>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</si>
  <si>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</si>
  <si>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</si>
  <si>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</si>
  <si>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</si>
  <si>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</si>
  <si>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</si>
  <si>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</si>
  <si>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</si>
  <si>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</si>
  <si>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</si>
  <si>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</si>
  <si>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</si>
  <si>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</si>
  <si>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</si>
  <si>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</si>
  <si>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</si>
  <si>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</si>
  <si>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</si>
  <si>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</si>
  <si>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</si>
  <si>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</si>
  <si>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</si>
  <si>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</si>
  <si>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</si>
  <si>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</si>
  <si>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</si>
  <si>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</si>
  <si>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</si>
  <si>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</si>
  <si>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</si>
  <si>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</si>
  <si>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</si>
  <si>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</si>
  <si>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</si>
  <si>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</si>
  <si>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</si>
  <si>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</si>
  <si>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</si>
  <si>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</si>
  <si>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</si>
  <si>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</si>
  <si>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</si>
  <si>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</si>
  <si>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</si>
  <si>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</si>
  <si>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</si>
  <si>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</si>
  <si>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</si>
  <si>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</si>
  <si>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</si>
  <si>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</si>
  <si>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</si>
  <si>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</si>
  <si>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</si>
  <si>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</si>
  <si>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</si>
  <si>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</si>
  <si>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</si>
  <si>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</si>
  <si>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</si>
  <si>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</si>
  <si>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</si>
  <si>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</si>
  <si>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</si>
  <si>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</si>
  <si>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</si>
  <si>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</si>
  <si>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</si>
  <si>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</si>
  <si>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</si>
  <si>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</si>
  <si>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</si>
  <si>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</si>
  <si>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</si>
  <si>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</si>
  <si>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</si>
  <si>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</si>
  <si>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</si>
  <si>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</si>
  <si>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</si>
  <si>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</si>
  <si>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</si>
  <si>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</si>
  <si>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</si>
  <si>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</si>
  <si>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</si>
  <si>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</si>
  <si>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</si>
  <si>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</si>
  <si>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</si>
  <si>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</si>
  <si>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</si>
  <si>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</si>
  <si>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</si>
  <si>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</si>
  <si>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</si>
  <si>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</si>
  <si>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</si>
  <si>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</si>
  <si>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</si>
  <si>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</si>
  <si>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</si>
  <si>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</si>
  <si>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</si>
  <si>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</si>
  <si>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</si>
  <si>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</si>
  <si>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</si>
  <si>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</si>
  <si>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</si>
  <si>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</si>
  <si>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</si>
  <si>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</si>
  <si>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</si>
  <si>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</si>
  <si>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</si>
  <si>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</si>
  <si>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</si>
  <si>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</si>
  <si>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</si>
  <si>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</si>
  <si>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</si>
  <si>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</si>
  <si>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</si>
  <si>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</si>
  <si>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</si>
  <si>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</si>
  <si>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</si>
  <si>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</si>
  <si>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</si>
  <si>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</si>
  <si>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</si>
  <si>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</si>
  <si>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</si>
  <si>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</si>
  <si>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</si>
  <si>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</si>
  <si>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</si>
  <si>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</si>
  <si>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</si>
  <si>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</si>
  <si>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</si>
  <si>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</si>
  <si>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</si>
  <si>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</si>
  <si>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</si>
  <si>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</si>
  <si>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</si>
  <si>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</si>
  <si>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</si>
  <si>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</si>
  <si>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</si>
  <si>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</si>
  <si>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</si>
  <si>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</si>
  <si>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</si>
  <si>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</si>
  <si>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</si>
  <si>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</si>
  <si>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</si>
  <si>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</si>
  <si>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</si>
  <si>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</si>
  <si>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</si>
  <si>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</si>
  <si>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</si>
  <si>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</si>
  <si>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</si>
  <si>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</si>
  <si>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</si>
  <si>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</si>
  <si>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</si>
  <si>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</si>
  <si>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</si>
  <si>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</si>
  <si>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</si>
  <si>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</si>
  <si>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</si>
  <si>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</si>
  <si>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</si>
  <si>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</si>
  <si>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</si>
  <si>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</si>
  <si>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</si>
  <si>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</si>
  <si>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</si>
  <si>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</si>
  <si>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</si>
  <si>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</si>
  <si>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</si>
  <si>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</si>
  <si>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</si>
  <si>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</si>
  <si>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</si>
  <si>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</si>
  <si>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</si>
  <si>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</si>
  <si>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</si>
  <si>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</si>
  <si>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</si>
  <si>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</si>
  <si>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</si>
  <si>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</si>
  <si>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</si>
  <si>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</si>
  <si>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</si>
  <si>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</si>
  <si>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</si>
  <si>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</si>
  <si>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</si>
  <si>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</si>
  <si>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</si>
  <si>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</si>
  <si>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</si>
  <si>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</si>
  <si>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</si>
  <si>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</si>
  <si>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</si>
  <si>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</si>
  <si>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</si>
  <si>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</si>
  <si>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</si>
  <si>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</si>
  <si>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</si>
  <si>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</si>
  <si>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</si>
  <si>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</si>
  <si>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</si>
  <si>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</si>
  <si>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</si>
  <si>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</si>
  <si>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</si>
  <si>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</si>
  <si>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</si>
  <si>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</si>
  <si>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</si>
  <si>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</si>
  <si>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</si>
  <si>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</si>
  <si>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</si>
  <si>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</si>
  <si>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</si>
  <si>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</si>
  <si>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</si>
  <si>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</si>
  <si>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</si>
  <si>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</si>
  <si>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</si>
  <si>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</si>
  <si>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</si>
  <si>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</si>
  <si>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</si>
  <si>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</si>
  <si>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</si>
  <si>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</si>
  <si>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</si>
  <si>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</si>
  <si>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</si>
  <si>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</si>
  <si>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</si>
  <si>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</si>
  <si>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</si>
  <si>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</si>
  <si>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</si>
  <si>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</si>
  <si>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</si>
  <si>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</si>
  <si>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</si>
  <si>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</si>
  <si>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</si>
  <si>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</si>
  <si>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</si>
  <si>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</si>
  <si>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</si>
  <si>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</si>
  <si>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</si>
  <si>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</si>
  <si>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</si>
  <si>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</si>
  <si>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</si>
  <si>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</si>
  <si>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</si>
  <si>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</si>
  <si>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</si>
  <si>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</si>
  <si>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</si>
  <si>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</si>
  <si>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</si>
  <si>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</si>
  <si>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</si>
  <si>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</si>
  <si>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</si>
  <si>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</si>
  <si>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</si>
  <si>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</si>
  <si>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</si>
  <si>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</si>
  <si>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</si>
  <si>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</si>
  <si>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</si>
  <si>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</si>
  <si>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</si>
  <si>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</si>
  <si>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</si>
  <si>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</si>
  <si>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</si>
  <si>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</si>
  <si>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</si>
  <si>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</si>
  <si>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</si>
  <si>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</si>
  <si>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</si>
  <si>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</si>
  <si>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</si>
  <si>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</si>
  <si>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</si>
  <si>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</si>
  <si>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</si>
  <si>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</si>
  <si>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</si>
  <si>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</si>
  <si>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</si>
  <si>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</si>
  <si>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</si>
  <si>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</si>
  <si>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</si>
  <si>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</si>
  <si>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</si>
  <si>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</si>
  <si>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</si>
  <si>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</si>
  <si>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</si>
  <si>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</si>
  <si>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</si>
  <si>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</si>
  <si>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</si>
  <si>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</si>
  <si>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</si>
  <si>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</si>
  <si>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</si>
  <si>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</si>
  <si>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</si>
  <si>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</si>
  <si>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</si>
  <si>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</si>
  <si>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</si>
  <si>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</si>
  <si>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</si>
  <si>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</si>
  <si>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</si>
  <si>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</si>
  <si>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</si>
  <si>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</si>
  <si>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</si>
  <si>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</si>
  <si>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</si>
  <si>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</si>
  <si>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</si>
  <si>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</si>
  <si>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</si>
  <si>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</si>
  <si>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</si>
  <si>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</si>
  <si>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</si>
  <si>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</si>
  <si>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</si>
  <si>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</si>
  <si>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</si>
  <si>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</si>
  <si>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</si>
  <si>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</si>
  <si>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</si>
  <si>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</si>
  <si>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</si>
  <si>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</si>
  <si>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</si>
  <si>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</si>
  <si>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</si>
  <si>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</si>
  <si>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</si>
  <si>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</si>
  <si>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</si>
  <si>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</si>
  <si>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</si>
  <si>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</si>
  <si>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</si>
  <si>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</si>
  <si>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</si>
  <si>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</si>
  <si>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</si>
  <si>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</si>
  <si>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</si>
  <si>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</si>
  <si>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</si>
  <si>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</si>
  <si>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</si>
  <si>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</si>
  <si>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</si>
  <si>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</si>
  <si>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</si>
  <si>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</si>
  <si>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</si>
  <si>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</si>
  <si>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</si>
  <si>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</si>
  <si>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</si>
  <si>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</si>
  <si>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</si>
  <si>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</si>
  <si>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</si>
  <si>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</si>
  <si>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</si>
  <si>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</si>
  <si>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</si>
  <si>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</si>
  <si>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</si>
  <si>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</si>
  <si>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</si>
  <si>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</si>
  <si>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</si>
  <si>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</si>
  <si>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</si>
  <si>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</si>
  <si>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</si>
  <si>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</si>
  <si>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</si>
  <si>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</si>
  <si>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</si>
  <si>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</si>
  <si>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</si>
  <si>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</si>
  <si>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</si>
  <si>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</si>
  <si>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</si>
  <si>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</si>
  <si>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</si>
  <si>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</si>
  <si>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</si>
  <si>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</si>
  <si>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</si>
  <si>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</si>
  <si>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</si>
  <si>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</si>
  <si>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</si>
  <si>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</si>
  <si>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</si>
  <si>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</si>
  <si>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</si>
  <si>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</si>
  <si>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</si>
  <si>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</si>
  <si>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</si>
  <si>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</si>
  <si>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</si>
  <si>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</si>
  <si>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</si>
  <si>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</si>
  <si>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</si>
  <si>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</si>
  <si>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</si>
  <si>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</si>
  <si>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</si>
  <si>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</si>
  <si>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</si>
  <si>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</si>
  <si>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</si>
  <si>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</si>
  <si>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</si>
  <si>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</si>
  <si>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</si>
  <si>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</si>
  <si>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</si>
  <si>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</si>
  <si>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</si>
  <si>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</si>
  <si>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</si>
  <si>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</si>
  <si>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</si>
  <si>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</si>
  <si>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</si>
  <si>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</si>
  <si>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</si>
  <si>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</si>
  <si>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</si>
  <si>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</si>
  <si>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</si>
  <si>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</si>
  <si>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</si>
  <si>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</si>
  <si>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</si>
  <si>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</si>
  <si>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</si>
  <si>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</si>
  <si>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</si>
  <si>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</si>
  <si>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</si>
  <si>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</si>
  <si>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</si>
  <si>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</si>
  <si>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</si>
  <si>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</si>
  <si>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</si>
  <si>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</si>
  <si>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</si>
  <si>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</si>
  <si>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</si>
  <si>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</si>
  <si>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</si>
  <si>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</si>
  <si>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</si>
  <si>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</si>
  <si>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</si>
  <si>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</si>
  <si>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</si>
  <si>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</si>
  <si>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</si>
  <si>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</si>
  <si>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</si>
  <si>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</si>
  <si>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</si>
  <si>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</si>
  <si>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</si>
  <si>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</si>
  <si>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</si>
  <si>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</si>
  <si>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</si>
  <si>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</si>
  <si>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</si>
  <si>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</si>
  <si>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</si>
  <si>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</si>
  <si>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</si>
  <si>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</si>
  <si>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</si>
  <si>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</si>
  <si>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</si>
  <si>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</si>
  <si>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</si>
  <si>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</si>
  <si>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</si>
  <si>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</si>
  <si>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</si>
  <si>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</si>
  <si>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</si>
  <si>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</si>
  <si>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</si>
  <si>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</si>
  <si>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</si>
  <si>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</si>
  <si>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</si>
  <si>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</si>
  <si>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</si>
  <si>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</si>
  <si>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</si>
  <si>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</si>
  <si>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</si>
  <si>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</si>
  <si>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</si>
  <si>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</si>
  <si>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</si>
  <si>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</si>
  <si>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</si>
  <si>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</si>
  <si>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</si>
  <si>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</si>
  <si>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</si>
  <si>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</si>
  <si>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</si>
  <si>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</si>
  <si>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</si>
  <si>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</si>
  <si>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</si>
  <si>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</si>
  <si>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</si>
  <si>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</si>
  <si>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</si>
  <si>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</si>
  <si>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</si>
  <si>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</si>
  <si>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</si>
  <si>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</si>
  <si>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</si>
  <si>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</si>
  <si>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</si>
  <si>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</si>
  <si>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</si>
  <si>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</si>
  <si>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</si>
  <si>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</si>
  <si>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</si>
  <si>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</si>
  <si>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</si>
  <si>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</si>
  <si>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</si>
  <si>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</si>
  <si>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</si>
  <si>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</si>
  <si>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</si>
  <si>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</si>
  <si>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</si>
  <si>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</si>
  <si>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</si>
  <si>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</si>
  <si>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</si>
  <si>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</si>
  <si>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</si>
  <si>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</si>
  <si>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</si>
  <si>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</si>
  <si>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</si>
  <si>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</si>
  <si>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</si>
  <si>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</si>
  <si>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</si>
  <si>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</si>
  <si>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</si>
  <si>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</si>
  <si>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</si>
  <si>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</si>
  <si>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</si>
  <si>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</si>
  <si>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</si>
  <si>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</si>
  <si>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</si>
  <si>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</si>
  <si>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</si>
  <si>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</si>
  <si>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</si>
  <si>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</si>
  <si>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</si>
  <si>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</si>
  <si>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</si>
  <si>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</si>
  <si>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</si>
  <si>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</si>
  <si>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</si>
  <si>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</si>
  <si>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</si>
  <si>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</si>
  <si>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</si>
  <si>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</si>
  <si>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</si>
  <si>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</si>
  <si>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</si>
  <si>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</si>
  <si>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</si>
  <si>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</si>
  <si>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</si>
  <si>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</si>
  <si>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</si>
  <si>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</si>
  <si>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</si>
  <si>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</si>
  <si>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</si>
  <si>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</si>
  <si>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</si>
  <si>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</si>
  <si>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</si>
  <si>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</si>
  <si>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</si>
  <si>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</si>
  <si>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</si>
  <si>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</si>
  <si>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</si>
  <si>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</si>
  <si>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</si>
  <si>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</si>
  <si>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</si>
  <si>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</si>
  <si>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</si>
  <si>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</si>
  <si>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</si>
  <si>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</si>
  <si>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</si>
  <si>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</si>
  <si>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</si>
  <si>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</si>
  <si>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</si>
  <si>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</si>
  <si>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</si>
  <si>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</si>
  <si>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</si>
  <si>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</si>
  <si>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</si>
  <si>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</si>
  <si>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</si>
  <si>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</si>
  <si>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</si>
  <si>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</si>
  <si>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</si>
  <si>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</si>
  <si>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</si>
  <si>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</si>
  <si>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</si>
  <si>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</si>
  <si>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</si>
  <si>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</si>
  <si>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</si>
  <si>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</si>
  <si>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</si>
  <si>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</si>
  <si>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</si>
  <si>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</si>
  <si>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</si>
  <si>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</si>
  <si>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</si>
  <si>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</si>
  <si>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</si>
  <si>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</si>
  <si>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</si>
  <si>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</si>
  <si>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</si>
  <si>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</si>
  <si>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</si>
  <si>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</si>
  <si>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</si>
  <si>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</si>
  <si>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</si>
  <si>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</si>
  <si>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</si>
  <si>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</si>
  <si>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</si>
  <si>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</si>
  <si>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</si>
  <si>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</si>
  <si>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</si>
  <si>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</si>
  <si>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</si>
  <si>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</si>
  <si>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</si>
  <si>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</si>
  <si>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</si>
  <si>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</si>
  <si>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</si>
  <si>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</si>
  <si>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</si>
  <si>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</si>
  <si>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</si>
  <si>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</si>
  <si>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</si>
  <si>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</si>
  <si>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</si>
  <si>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</si>
  <si>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</si>
  <si>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</si>
  <si>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</si>
  <si>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</si>
  <si>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</si>
  <si>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</si>
  <si>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</si>
  <si>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</si>
  <si>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</si>
  <si>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</si>
  <si>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</si>
  <si>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</si>
  <si>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</si>
  <si>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</si>
  <si>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</si>
  <si>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</si>
  <si>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</si>
  <si>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</si>
  <si>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</si>
  <si>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</si>
  <si>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</si>
  <si>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</si>
  <si>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</si>
  <si>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</si>
  <si>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</si>
  <si>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</si>
  <si>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</si>
  <si>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</si>
  <si>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</si>
  <si>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</si>
  <si>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</si>
  <si>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</si>
  <si>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</si>
  <si>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</si>
  <si>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</si>
  <si>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</si>
  <si>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</si>
  <si>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</si>
  <si>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</si>
  <si>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</si>
  <si>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</si>
  <si>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</si>
  <si>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</si>
  <si>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</si>
  <si>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</si>
  <si>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</si>
  <si>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</si>
  <si>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</si>
  <si>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</si>
  <si>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</si>
  <si>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</si>
  <si>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</si>
  <si>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</si>
  <si>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</si>
  <si>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</si>
  <si>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</si>
  <si>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</si>
  <si>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</si>
  <si>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</si>
  <si>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</si>
  <si>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</si>
  <si>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</si>
  <si>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</si>
  <si>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</si>
  <si>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</si>
  <si>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</si>
  <si>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</si>
  <si>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</si>
  <si>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</si>
  <si>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</si>
  <si>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</si>
  <si>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</si>
  <si>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</si>
  <si>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</si>
  <si>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</si>
  <si>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</si>
  <si>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</si>
  <si>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</si>
  <si>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</si>
  <si>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</si>
  <si>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</si>
  <si>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</si>
  <si>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</si>
  <si>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</si>
  <si>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</si>
  <si>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</si>
  <si>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</si>
  <si>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</si>
  <si>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</si>
  <si>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</si>
  <si>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</si>
  <si>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</si>
  <si>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</si>
  <si>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</si>
  <si>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</si>
  <si>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</si>
  <si>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</si>
  <si>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</si>
  <si>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</si>
  <si>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</si>
  <si>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</si>
  <si>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</si>
  <si>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</si>
  <si>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</si>
  <si>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</si>
  <si>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</si>
  <si>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</si>
  <si>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</si>
  <si>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</si>
  <si>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</si>
  <si>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</si>
  <si>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</si>
  <si>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</si>
  <si>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</si>
  <si>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</si>
  <si>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</si>
  <si>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</si>
  <si>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</si>
  <si>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</si>
  <si>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</si>
  <si>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</si>
  <si>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</si>
  <si>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</si>
  <si>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</si>
  <si>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</si>
  <si>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</si>
  <si>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</si>
  <si>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</si>
  <si>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</si>
  <si>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</si>
  <si>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</si>
  <si>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</si>
  <si>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</si>
  <si>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</si>
  <si>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</si>
  <si>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</si>
  <si>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</si>
  <si>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</si>
  <si>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</si>
  <si>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</si>
  <si>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</si>
  <si>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</si>
  <si>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</si>
  <si>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</si>
  <si>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</si>
  <si>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</si>
  <si>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</si>
  <si>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</si>
  <si>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</si>
  <si>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</si>
  <si>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</si>
  <si>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</si>
  <si>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</si>
  <si>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</si>
  <si>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</si>
  <si>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</si>
  <si>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</si>
  <si>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</si>
  <si>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</si>
  <si>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</si>
  <si>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</si>
  <si>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</si>
  <si>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</si>
  <si>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</si>
  <si>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</si>
  <si>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</si>
  <si>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</si>
  <si>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</si>
  <si>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</si>
  <si>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</si>
  <si>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</si>
  <si>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</si>
  <si>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</si>
  <si>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</si>
  <si>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</si>
  <si>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</si>
  <si>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</si>
  <si>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</si>
  <si>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</si>
  <si>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</si>
  <si>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</si>
  <si>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</si>
  <si>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</si>
  <si>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</si>
  <si>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</si>
  <si>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</si>
  <si>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</si>
  <si>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</si>
  <si>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</si>
  <si>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</si>
  <si>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</si>
  <si>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</si>
  <si>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</si>
  <si>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</si>
  <si>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</si>
  <si>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</si>
  <si>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</si>
  <si>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</si>
  <si>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</si>
  <si>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</si>
  <si>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</si>
  <si>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</si>
  <si>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</si>
  <si>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</si>
  <si>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</si>
  <si>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</si>
  <si>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</si>
  <si>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</si>
  <si>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</si>
  <si>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</si>
  <si>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</si>
  <si>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</si>
  <si>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</si>
  <si>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</si>
  <si>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</si>
  <si>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</si>
  <si>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</si>
  <si>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</si>
  <si>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</si>
  <si>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</si>
  <si>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</si>
  <si>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</si>
  <si>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</si>
  <si>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</si>
  <si>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</si>
  <si>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</si>
  <si>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</si>
  <si>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</si>
  <si>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</si>
  <si>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</si>
  <si>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</si>
  <si>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</si>
  <si>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</si>
  <si>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</si>
  <si>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</si>
  <si>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</si>
  <si>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</si>
  <si>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</si>
  <si>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</si>
  <si>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</si>
  <si>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</si>
  <si>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</si>
  <si>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</si>
  <si>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</si>
  <si>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</si>
  <si>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</si>
  <si>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</si>
  <si>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</si>
  <si>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</si>
  <si>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</si>
  <si>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</si>
  <si>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</si>
  <si>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</si>
  <si>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</si>
  <si>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</si>
  <si>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</si>
  <si>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</si>
  <si>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</si>
  <si>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</si>
  <si>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</si>
  <si>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</si>
  <si>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</si>
  <si>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</si>
  <si>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</si>
  <si>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</si>
  <si>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</si>
  <si>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</si>
  <si>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</si>
  <si>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</si>
  <si>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</si>
  <si>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</si>
  <si>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</si>
  <si>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</si>
  <si>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</si>
  <si>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</si>
  <si>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</si>
  <si>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</si>
  <si>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</si>
  <si>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</si>
  <si>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</si>
  <si>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</si>
  <si>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</si>
  <si>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</si>
  <si>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</si>
  <si>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</si>
  <si>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</si>
  <si>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</si>
  <si>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</si>
  <si>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</si>
  <si>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</si>
  <si>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</si>
  <si>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</si>
  <si>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</si>
  <si>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</si>
  <si>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</si>
  <si>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</si>
  <si>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</si>
  <si>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</si>
  <si>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</si>
  <si>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</si>
  <si>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</si>
  <si>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</si>
  <si>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</si>
  <si>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</si>
  <si>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</si>
  <si>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</si>
  <si>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</si>
  <si>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</si>
  <si>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</si>
  <si>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</si>
  <si>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</si>
  <si>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</si>
  <si>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</si>
  <si>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</si>
  <si>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</si>
  <si>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</si>
  <si>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</si>
  <si>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</si>
  <si>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</si>
  <si>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</si>
  <si>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</si>
  <si>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</si>
  <si>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</si>
  <si>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</si>
  <si>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</si>
  <si>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</si>
  <si>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</si>
  <si>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</si>
  <si>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</si>
  <si>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</si>
  <si>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</si>
  <si>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</si>
  <si>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</si>
  <si>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</si>
  <si>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</si>
  <si>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</si>
  <si>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</si>
  <si>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</si>
  <si>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</si>
  <si>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</si>
  <si>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</si>
  <si>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</si>
  <si>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</si>
  <si>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</si>
  <si>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</si>
  <si>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</si>
  <si>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</si>
  <si>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</si>
  <si>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</si>
  <si>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</si>
  <si>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</si>
  <si>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</si>
  <si>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</si>
  <si>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</si>
  <si>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</si>
  <si>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</si>
  <si>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</si>
  <si>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</si>
  <si>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</si>
  <si>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</si>
  <si>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</si>
  <si>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</si>
  <si>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</si>
  <si>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</si>
  <si>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</si>
  <si>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</si>
  <si>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</si>
  <si>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</si>
  <si>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</si>
  <si>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</si>
  <si>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</si>
  <si>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</si>
  <si>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</si>
  <si>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</si>
  <si>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</si>
  <si>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</si>
  <si>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</si>
  <si>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</si>
  <si>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</si>
  <si>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</si>
  <si>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</si>
  <si>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</si>
  <si>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</si>
  <si>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</si>
  <si>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</si>
  <si>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</si>
  <si>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</si>
  <si>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</si>
  <si>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</si>
  <si>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</si>
  <si>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</si>
  <si>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</si>
  <si>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</si>
  <si>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</si>
  <si>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</si>
  <si>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</si>
  <si>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</si>
  <si>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</si>
  <si>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</si>
  <si>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</si>
  <si>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</si>
  <si>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</si>
  <si>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</si>
  <si>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</si>
  <si>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</si>
  <si>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</si>
  <si>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</si>
  <si>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</si>
  <si>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</si>
  <si>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</si>
  <si>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</si>
  <si>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</si>
  <si>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</si>
  <si>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</si>
  <si>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</si>
  <si>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</si>
  <si>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</si>
  <si>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</si>
  <si>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</si>
  <si>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</si>
  <si>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</si>
  <si>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</si>
  <si>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</si>
  <si>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</si>
  <si>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</si>
  <si>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</si>
  <si>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</si>
  <si>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</si>
  <si>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</si>
  <si>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</si>
  <si>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</si>
  <si>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</si>
  <si>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</si>
  <si>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</si>
  <si>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</si>
  <si>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</si>
  <si>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</si>
  <si>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</si>
  <si>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</si>
  <si>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</si>
  <si>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</si>
  <si>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</si>
  <si>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</si>
  <si>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</si>
  <si>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</si>
  <si>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</si>
  <si>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</si>
  <si>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</si>
  <si>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</si>
  <si>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</si>
  <si>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</si>
  <si>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</si>
  <si>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</si>
  <si>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</si>
  <si>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</si>
  <si>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</si>
  <si>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</si>
  <si>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</si>
  <si>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</si>
  <si>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</si>
  <si>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</si>
  <si>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</si>
  <si>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</si>
  <si>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</si>
  <si>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</si>
  <si>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</si>
  <si>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</si>
  <si>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</si>
  <si>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</si>
  <si>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</si>
  <si>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</si>
  <si>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</si>
  <si>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</si>
  <si>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</si>
  <si>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</si>
  <si>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</si>
  <si>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</si>
  <si>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</si>
  <si>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</si>
  <si>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</si>
  <si>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</si>
  <si>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</si>
  <si>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</si>
  <si>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</si>
  <si>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</si>
  <si>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</si>
  <si>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</si>
  <si>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</si>
  <si>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</si>
  <si>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</si>
  <si>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</si>
  <si>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</si>
  <si>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</si>
  <si>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</si>
  <si>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</si>
  <si>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</si>
  <si>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</si>
  <si>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</si>
  <si>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</si>
  <si>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</si>
  <si>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</si>
  <si>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</si>
  <si>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</si>
  <si>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</si>
  <si>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</si>
  <si>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</si>
  <si>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</si>
  <si>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</si>
  <si>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</si>
  <si>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</si>
  <si>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</si>
  <si>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</si>
  <si>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</si>
  <si>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</si>
  <si>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</si>
  <si>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</si>
  <si>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</si>
  <si>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</si>
  <si>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</si>
  <si>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</si>
  <si>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</si>
  <si>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</si>
  <si>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</si>
  <si>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</si>
  <si>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</si>
  <si>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</si>
  <si>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</si>
  <si>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</si>
  <si>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</si>
  <si>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</si>
  <si>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</si>
  <si>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</si>
  <si>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</si>
  <si>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</si>
  <si>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</si>
  <si>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</si>
  <si>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</si>
  <si>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</si>
  <si>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</si>
  <si>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</si>
  <si>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</si>
  <si>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</si>
  <si>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</si>
  <si>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</si>
  <si>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</si>
  <si>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</si>
  <si>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</si>
  <si>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</si>
  <si>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</si>
  <si>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</si>
  <si>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</si>
  <si>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</si>
  <si>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</si>
  <si>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</si>
  <si>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</si>
  <si>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</si>
  <si>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</si>
  <si>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</si>
  <si>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</si>
  <si>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</si>
  <si>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</si>
  <si>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</si>
  <si>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</si>
  <si>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</si>
  <si>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</si>
  <si>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</si>
  <si>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</si>
  <si>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</si>
  <si>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</si>
  <si>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</si>
  <si>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</si>
  <si>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</si>
  <si>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</si>
  <si>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</si>
  <si>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</si>
  <si>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</si>
  <si>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</si>
  <si>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</si>
  <si>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</si>
  <si>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</si>
  <si>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</si>
  <si>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</si>
  <si>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</si>
  <si>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</si>
  <si>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</si>
  <si>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</si>
  <si>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</si>
  <si>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</si>
  <si>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</si>
  <si>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</si>
  <si>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</si>
  <si>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</si>
  <si>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</si>
  <si>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</si>
  <si>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</si>
  <si>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</si>
  <si>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</si>
  <si>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</si>
  <si>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</si>
  <si>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</si>
  <si>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</si>
  <si>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</si>
  <si>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</si>
  <si>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</si>
  <si>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</si>
  <si>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</si>
  <si>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</si>
  <si>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</si>
  <si>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</si>
  <si>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</si>
  <si>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</si>
  <si>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</si>
  <si>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</si>
  <si>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</si>
  <si>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</si>
  <si>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</si>
  <si>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</si>
  <si>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</si>
  <si>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</si>
  <si>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</si>
  <si>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</si>
  <si>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</si>
  <si>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</si>
  <si>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</si>
  <si>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</si>
  <si>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</si>
  <si>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</si>
  <si>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</si>
  <si>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</si>
  <si>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</si>
  <si>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</si>
  <si>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</si>
  <si>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</si>
  <si>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</si>
  <si>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</si>
  <si>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</si>
  <si>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</si>
  <si>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</si>
  <si>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</si>
  <si>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</si>
  <si>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</si>
  <si>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</si>
  <si>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</si>
  <si>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</si>
  <si>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</si>
  <si>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</si>
  <si>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</si>
  <si>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</si>
  <si>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</si>
  <si>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</si>
  <si>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</si>
  <si>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</si>
  <si>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</si>
  <si>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</si>
  <si>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</si>
  <si>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</si>
  <si>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</si>
  <si>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</si>
  <si>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</si>
  <si>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</si>
  <si>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</si>
  <si>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</si>
  <si>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</si>
  <si>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</si>
  <si>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</si>
  <si>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</si>
  <si>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</si>
  <si>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</si>
  <si>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</si>
  <si>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</si>
  <si>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</si>
  <si>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</si>
  <si>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</si>
  <si>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</si>
  <si>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</si>
  <si>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</si>
  <si>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</si>
  <si>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</si>
  <si>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</si>
  <si>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</si>
  <si>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</si>
  <si>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</si>
  <si>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</si>
  <si>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</si>
  <si>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</si>
  <si>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</si>
  <si>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</si>
  <si>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</si>
  <si>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</si>
  <si>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</si>
  <si>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</si>
  <si>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</si>
  <si>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</si>
  <si>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</si>
  <si>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</si>
  <si>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</si>
  <si>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</si>
  <si>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</si>
  <si>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</si>
  <si>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</si>
  <si>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</si>
  <si>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</si>
  <si>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</si>
  <si>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</si>
  <si>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</si>
  <si>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</si>
  <si>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</si>
  <si>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</si>
  <si>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</si>
  <si>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</si>
  <si>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</si>
  <si>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</si>
  <si>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</si>
  <si>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</si>
  <si>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</si>
  <si>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</si>
  <si>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</si>
  <si>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</si>
  <si>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</si>
  <si>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</si>
  <si>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</si>
  <si>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</si>
  <si>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</si>
  <si>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</si>
  <si>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</si>
  <si>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</si>
  <si>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</si>
  <si>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</si>
  <si>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</si>
  <si>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</si>
  <si>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</si>
  <si>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</si>
  <si>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</si>
  <si>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</si>
  <si>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</si>
  <si>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</si>
  <si>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</si>
  <si>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</si>
  <si>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</si>
  <si>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</si>
  <si>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</si>
  <si>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</si>
  <si>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</si>
  <si>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</si>
  <si>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</si>
  <si>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</si>
  <si>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</si>
  <si>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</si>
  <si>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</si>
  <si>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</si>
  <si>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</si>
  <si>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</si>
  <si>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</si>
  <si>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</si>
  <si>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</si>
  <si>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</si>
  <si>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</si>
  <si>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</si>
  <si>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</si>
  <si>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</si>
  <si>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</si>
  <si>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</si>
  <si>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</si>
  <si>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</si>
  <si>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</si>
  <si>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</si>
  <si>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</si>
  <si>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</si>
  <si>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</si>
  <si>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</si>
  <si>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</si>
  <si>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</si>
  <si>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</si>
  <si>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</si>
  <si>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</si>
  <si>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</si>
  <si>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</si>
  <si>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</si>
  <si>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</si>
  <si>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</si>
  <si>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</si>
  <si>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</si>
  <si>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</si>
  <si>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</si>
  <si>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</si>
  <si>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</si>
  <si>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</si>
  <si>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</si>
  <si>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</si>
  <si>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</si>
  <si>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</si>
  <si>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</si>
  <si>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</si>
  <si>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</si>
  <si>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</si>
  <si>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</si>
  <si>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</si>
  <si>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</si>
  <si>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</si>
  <si>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</si>
  <si>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</si>
  <si>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</si>
  <si>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</si>
  <si>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</si>
  <si>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</si>
  <si>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</si>
  <si>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</si>
  <si>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</si>
  <si>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</si>
  <si>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</si>
  <si>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</si>
  <si>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</si>
  <si>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</si>
  <si>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</si>
  <si>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</si>
  <si>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</si>
  <si>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</si>
  <si>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</si>
  <si>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</si>
  <si>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</si>
  <si>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</si>
  <si>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</si>
  <si>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</si>
  <si>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</si>
  <si>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</si>
  <si>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</si>
  <si>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</si>
  <si>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</si>
  <si>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</si>
  <si>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</si>
  <si>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</si>
  <si>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</si>
  <si>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</si>
  <si>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</si>
  <si>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</si>
  <si>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</si>
  <si>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</si>
  <si>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</si>
  <si>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</si>
  <si>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</si>
  <si>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</si>
  <si>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</si>
  <si>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</si>
  <si>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</si>
  <si>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</si>
  <si>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</si>
  <si>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</si>
  <si>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</si>
  <si>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</si>
  <si>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</si>
  <si>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</si>
  <si>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</si>
  <si>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</si>
  <si>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</si>
  <si>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</si>
  <si>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</si>
  <si>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</si>
  <si>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</si>
  <si>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</si>
  <si>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</si>
  <si>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</si>
  <si>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</si>
  <si>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</si>
  <si>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</si>
  <si>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</si>
  <si>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</si>
  <si>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</si>
  <si>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</si>
  <si>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</si>
  <si>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</si>
  <si>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</si>
  <si>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</si>
  <si>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</si>
  <si>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</si>
  <si>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</si>
  <si>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</si>
  <si>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</si>
  <si>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</si>
  <si>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</si>
  <si>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</si>
  <si>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</si>
  <si>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</si>
  <si>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</si>
  <si>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</si>
  <si>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</si>
  <si>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</si>
  <si>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</si>
  <si>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</si>
  <si>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</si>
  <si>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</si>
  <si>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</si>
  <si>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</si>
  <si>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</si>
  <si>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</si>
  <si>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</si>
  <si>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</si>
  <si>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</si>
  <si>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</si>
  <si>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</si>
  <si>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</si>
  <si>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</si>
  <si>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</si>
  <si>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</si>
  <si>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</si>
  <si>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</si>
  <si>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</si>
  <si>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</si>
  <si>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</si>
  <si>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</si>
  <si>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</si>
  <si>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</si>
  <si>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</si>
  <si>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</si>
  <si>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</si>
  <si>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</si>
  <si>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</si>
  <si>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</si>
  <si>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</si>
  <si>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</si>
  <si>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</si>
  <si>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</si>
  <si>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</si>
  <si>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</si>
  <si>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</si>
  <si>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</si>
  <si>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</si>
  <si>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</si>
  <si>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</si>
  <si>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</si>
  <si>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</si>
  <si>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</si>
  <si>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</si>
  <si>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</si>
  <si>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</si>
  <si>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</si>
  <si>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</si>
  <si>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</si>
  <si>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</si>
  <si>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</si>
  <si>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</si>
  <si>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</si>
  <si>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</si>
  <si>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</si>
  <si>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</si>
  <si>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</si>
  <si>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</si>
  <si>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</si>
  <si>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</si>
  <si>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</si>
  <si>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</si>
  <si>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</si>
  <si>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</si>
  <si>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</si>
  <si>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</si>
  <si>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</si>
  <si>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</si>
  <si>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</si>
  <si>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</si>
  <si>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</si>
  <si>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</si>
  <si>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</si>
  <si>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</si>
  <si>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</si>
  <si>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</si>
  <si>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</si>
  <si>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</si>
  <si>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</si>
  <si>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</si>
  <si>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</si>
  <si>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</si>
  <si>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</si>
  <si>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</si>
  <si>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</si>
  <si>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</si>
  <si>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</si>
  <si>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</si>
  <si>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</si>
  <si>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</si>
  <si>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</si>
  <si>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</si>
  <si>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</si>
  <si>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</si>
  <si>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</si>
  <si>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</si>
  <si>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</si>
  <si>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</si>
  <si>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</si>
  <si>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</si>
  <si>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</si>
  <si>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</si>
  <si>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</si>
  <si>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</si>
  <si>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</si>
  <si>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</si>
  <si>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</si>
  <si>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</si>
  <si>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</si>
  <si>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</si>
  <si>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</si>
  <si>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</si>
  <si>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</si>
  <si>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</si>
  <si>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</si>
  <si>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</si>
  <si>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</si>
  <si>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</si>
  <si>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</si>
  <si>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</si>
  <si>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</si>
  <si>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</si>
  <si>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</si>
  <si>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</si>
  <si>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</si>
  <si>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</si>
  <si>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</si>
  <si>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</si>
  <si>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</si>
  <si>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</si>
  <si>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</si>
  <si>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</si>
  <si>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</si>
  <si>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</si>
  <si>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</si>
  <si>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</si>
  <si>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</si>
  <si>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</si>
  <si>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</si>
  <si>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</si>
  <si>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</si>
  <si>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</si>
  <si>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</si>
  <si>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</si>
  <si>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</si>
  <si>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</si>
  <si>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</si>
  <si>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</si>
  <si>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</si>
  <si>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</si>
  <si>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</si>
  <si>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</si>
  <si>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</si>
  <si>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</si>
  <si>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</si>
  <si>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</si>
  <si>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</si>
  <si>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</si>
  <si>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</si>
  <si>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</si>
  <si>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</si>
  <si>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</si>
  <si>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</si>
  <si>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</si>
  <si>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</si>
  <si>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</si>
  <si>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</si>
  <si>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</si>
  <si>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</si>
  <si>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</si>
  <si>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</si>
  <si>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</si>
  <si>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</si>
  <si>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</si>
  <si>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</si>
  <si>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</si>
  <si>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</si>
  <si>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</si>
  <si>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</si>
  <si>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</si>
  <si>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</si>
  <si>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</si>
  <si>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</si>
  <si>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</si>
  <si>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</si>
  <si>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</si>
  <si>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</si>
  <si>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</si>
  <si>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</si>
  <si>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</si>
  <si>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</si>
  <si>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</si>
  <si>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</si>
  <si>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</si>
  <si>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</si>
  <si>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</si>
  <si>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</si>
  <si>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</si>
  <si>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</si>
  <si>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</si>
  <si>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</si>
  <si>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</si>
  <si>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</si>
  <si>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</si>
  <si>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</si>
  <si>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</si>
  <si>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</si>
  <si>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</si>
  <si>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</si>
  <si>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</si>
  <si>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</si>
  <si>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</si>
  <si>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</si>
  <si>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</si>
  <si>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</si>
  <si>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</si>
  <si>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</si>
  <si>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</si>
  <si>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</si>
  <si>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</si>
  <si>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</si>
  <si>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</si>
  <si>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</si>
  <si>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</si>
  <si>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</si>
  <si>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</si>
  <si>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</si>
  <si>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</si>
  <si>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</si>
  <si>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</si>
  <si>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</si>
  <si>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</si>
  <si>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</si>
  <si>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</si>
  <si>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</si>
  <si>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</si>
  <si>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</si>
  <si>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</si>
  <si>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</si>
  <si>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</si>
  <si>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</si>
  <si>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</si>
  <si>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</si>
  <si>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</si>
  <si>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</si>
  <si>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</si>
  <si>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</si>
  <si>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</si>
  <si>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</si>
  <si>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</si>
  <si>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</si>
  <si>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</si>
  <si>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</si>
  <si>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</si>
  <si>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</si>
  <si>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</si>
  <si>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</si>
  <si>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</si>
  <si>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</si>
  <si>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</si>
  <si>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</si>
  <si>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</si>
  <si>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</si>
  <si>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</si>
  <si>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</si>
  <si>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</si>
  <si>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</si>
  <si>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</si>
  <si>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</si>
  <si>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</si>
  <si>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</si>
  <si>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</si>
  <si>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</si>
  <si>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</si>
  <si>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</si>
  <si>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</si>
  <si>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</si>
  <si>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</si>
  <si>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</si>
  <si>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</si>
  <si>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</si>
  <si>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</si>
  <si>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</si>
  <si>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</si>
  <si>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</si>
  <si>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</si>
  <si>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</si>
  <si>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</si>
  <si>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</si>
  <si>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</si>
  <si>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</si>
  <si>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</si>
  <si>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</si>
  <si>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</si>
  <si>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</si>
  <si>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</si>
  <si>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</si>
  <si>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</si>
  <si>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</si>
  <si>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</si>
  <si>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</si>
  <si>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</si>
  <si>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</si>
  <si>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</si>
  <si>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</si>
  <si>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</si>
  <si>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</si>
  <si>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</si>
  <si>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</si>
  <si>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</si>
  <si>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</si>
  <si>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</si>
  <si>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</si>
  <si>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</si>
  <si>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</si>
  <si>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</si>
  <si>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</si>
  <si>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</si>
  <si>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</si>
  <si>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</si>
  <si>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</si>
  <si>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</si>
  <si>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</si>
  <si>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</si>
  <si>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</si>
  <si>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</si>
  <si>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</si>
  <si>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</si>
  <si>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</si>
  <si>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</si>
  <si>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</si>
  <si>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</si>
  <si>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</si>
  <si>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</si>
  <si>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</si>
  <si>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</si>
  <si>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</si>
  <si>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</si>
  <si>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</si>
  <si>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</si>
  <si>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</si>
  <si>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</si>
  <si>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</si>
  <si>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</si>
  <si>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</si>
  <si>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</si>
  <si>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</si>
  <si>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</si>
  <si>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</si>
  <si>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</si>
  <si>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</si>
  <si>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</si>
  <si>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</si>
  <si>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</si>
  <si>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</si>
  <si>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</si>
  <si>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</si>
  <si>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</si>
  <si>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</si>
  <si>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</si>
  <si>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</si>
  <si>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</si>
  <si>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</si>
  <si>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</si>
  <si>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</si>
  <si>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</si>
  <si>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</si>
  <si>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</si>
  <si>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</si>
  <si>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</si>
  <si>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</si>
  <si>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</si>
  <si>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</si>
  <si>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</si>
  <si>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</si>
  <si>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</si>
  <si>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</si>
  <si>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</si>
  <si>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</si>
  <si>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</si>
  <si>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</si>
  <si>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</si>
  <si>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</si>
  <si>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</si>
  <si>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</si>
  <si>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</si>
  <si>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</si>
  <si>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</si>
  <si>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</si>
  <si>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</si>
  <si>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</si>
  <si>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</si>
  <si>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</si>
  <si>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</si>
  <si>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</si>
  <si>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</si>
  <si>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</si>
  <si>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</si>
  <si>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</si>
  <si>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</si>
  <si>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</si>
  <si>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</si>
  <si>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</si>
  <si>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</si>
  <si>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</si>
  <si>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</si>
  <si>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</si>
  <si>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</si>
  <si>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</si>
  <si>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</si>
  <si>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</si>
  <si>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</si>
  <si>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</si>
  <si>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</si>
  <si>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</si>
  <si>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</si>
  <si>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</si>
  <si>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</si>
  <si>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</si>
  <si>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</si>
  <si>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</si>
  <si>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</si>
  <si>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</si>
  <si>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</si>
  <si>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</si>
  <si>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</si>
  <si>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</si>
  <si>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</si>
  <si>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</si>
  <si>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</si>
  <si>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</si>
  <si>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</si>
  <si>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</si>
  <si>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</si>
  <si>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</si>
  <si>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</si>
  <si>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</si>
  <si>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</si>
  <si>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</si>
  <si>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</si>
  <si>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</si>
  <si>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</si>
  <si>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</si>
  <si>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</si>
  <si>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</si>
  <si>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</si>
  <si>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</si>
  <si>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</si>
  <si>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</si>
  <si>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</si>
  <si>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</si>
  <si>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</si>
  <si>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</si>
  <si>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</si>
  <si>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</si>
  <si>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</si>
  <si>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</si>
  <si>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</si>
  <si>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</si>
  <si>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</si>
  <si>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</si>
  <si>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</si>
  <si>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</si>
  <si>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</si>
  <si>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</si>
  <si>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</si>
  <si>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</si>
  <si>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</si>
  <si>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</si>
  <si>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</si>
  <si>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</si>
  <si>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</si>
  <si>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</si>
  <si>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</si>
  <si>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</si>
  <si>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</si>
  <si>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</si>
  <si>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</si>
  <si>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</si>
  <si>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</si>
  <si>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</si>
  <si>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</si>
  <si>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</si>
  <si>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</si>
  <si>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</si>
  <si>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</si>
  <si>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</si>
  <si>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</si>
  <si>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</si>
  <si>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</si>
  <si>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</si>
  <si>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</si>
  <si>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</si>
  <si>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</si>
  <si>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</si>
  <si>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</si>
  <si>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</si>
  <si>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</si>
  <si>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</si>
  <si>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</si>
  <si>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</si>
  <si>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</si>
  <si>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</si>
  <si>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</si>
  <si>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</si>
  <si>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</si>
  <si>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</si>
  <si>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</si>
  <si>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</si>
  <si>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</si>
  <si>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</si>
  <si>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</si>
  <si>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</si>
  <si>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</si>
  <si>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</si>
  <si>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</si>
  <si>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</si>
  <si>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</si>
  <si>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</si>
  <si>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</si>
  <si>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</si>
  <si>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</si>
  <si>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</si>
  <si>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</si>
  <si>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</si>
  <si>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</si>
  <si>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</si>
  <si>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</si>
  <si>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</si>
  <si>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</si>
  <si>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</si>
  <si>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</si>
  <si>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</si>
  <si>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</si>
  <si>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</si>
  <si>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</si>
  <si>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</si>
  <si>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</si>
  <si>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</si>
  <si>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</si>
  <si>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</si>
  <si>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</si>
  <si>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</si>
  <si>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</si>
  <si>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</si>
  <si>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</si>
  <si>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</si>
  <si>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</si>
  <si>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</si>
  <si>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</si>
  <si>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</si>
  <si>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</si>
  <si>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</si>
  <si>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</si>
  <si>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</si>
  <si>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</si>
  <si>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</si>
  <si>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</si>
  <si>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</si>
  <si>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</si>
  <si>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</si>
  <si>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</si>
  <si>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</si>
  <si>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</si>
  <si>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</si>
  <si>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</si>
  <si>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</si>
  <si>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</si>
  <si>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</si>
  <si>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</si>
  <si>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</si>
  <si>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</si>
  <si>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</si>
  <si>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</si>
  <si>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</si>
  <si>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</si>
  <si>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</si>
  <si>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</si>
  <si>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</si>
  <si>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</si>
  <si>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</si>
  <si>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</si>
  <si>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</si>
  <si>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</si>
  <si>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</si>
  <si>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</si>
  <si>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</si>
  <si>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</si>
  <si>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</si>
  <si>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</si>
  <si>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</si>
  <si>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</si>
  <si>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</si>
  <si>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</si>
  <si>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</si>
  <si>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</si>
  <si>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</si>
  <si>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</si>
  <si>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</si>
  <si>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</si>
  <si>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</si>
  <si>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</si>
  <si>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</si>
  <si>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</si>
  <si>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</si>
  <si>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</si>
  <si>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</si>
  <si>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</si>
  <si>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</si>
  <si>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</si>
  <si>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</si>
  <si>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</si>
  <si>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</si>
  <si>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</si>
  <si>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</si>
  <si>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</si>
  <si>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</si>
  <si>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</si>
  <si>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</si>
  <si>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</si>
  <si>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</si>
  <si>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</si>
  <si>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</si>
  <si>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</si>
  <si>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</si>
  <si>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</si>
  <si>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</si>
  <si>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</si>
  <si>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</si>
  <si>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</si>
  <si>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</si>
  <si>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</si>
  <si>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</si>
  <si>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</si>
  <si>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</si>
  <si>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</si>
  <si>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</si>
  <si>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</si>
  <si>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</si>
  <si>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</si>
  <si>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</si>
  <si>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</si>
  <si>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</si>
  <si>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</si>
  <si>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</si>
  <si>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</si>
  <si>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</si>
  <si>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</si>
  <si>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</si>
  <si>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</si>
  <si>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</si>
  <si>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</si>
  <si>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</si>
  <si>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</si>
  <si>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</si>
  <si>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</si>
  <si>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</si>
  <si>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</si>
  <si>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</si>
  <si>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</si>
  <si>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</si>
  <si>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</si>
  <si>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</si>
  <si>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</si>
  <si>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</si>
  <si>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</si>
  <si>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</si>
  <si>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</si>
  <si>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</si>
  <si>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</si>
  <si>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</si>
  <si>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</si>
  <si>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</si>
  <si>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</si>
  <si>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</si>
  <si>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</si>
  <si>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</si>
  <si>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</si>
  <si>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</si>
  <si>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</si>
  <si>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</si>
  <si>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</si>
  <si>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</si>
  <si>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</si>
  <si>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</si>
  <si>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</si>
  <si>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</si>
  <si>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</si>
  <si>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</si>
  <si>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</si>
  <si>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</si>
  <si>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</si>
  <si>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</si>
  <si>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</si>
  <si>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</si>
  <si>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</si>
  <si>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</si>
  <si>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</si>
  <si>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</si>
  <si>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</si>
  <si>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</si>
  <si>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</si>
  <si>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</si>
  <si>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</si>
  <si>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</si>
  <si>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</si>
  <si>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</si>
  <si>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</si>
  <si>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</si>
  <si>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</si>
  <si>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</si>
  <si>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</si>
  <si>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</si>
  <si>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</si>
  <si>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</si>
  <si>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</si>
  <si>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</si>
  <si>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</si>
  <si>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</si>
  <si>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</si>
  <si>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</si>
  <si>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</si>
  <si>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</si>
  <si>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</si>
  <si>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</si>
  <si>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</si>
  <si>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</si>
  <si>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</si>
  <si>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</si>
  <si>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</si>
  <si>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</si>
  <si>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</si>
  <si>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</si>
  <si>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</si>
  <si>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</si>
  <si>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</si>
  <si>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</si>
  <si>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</si>
  <si>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</si>
  <si>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</si>
  <si>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</si>
  <si>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</si>
  <si>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</si>
  <si>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</si>
  <si>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</si>
  <si>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</si>
  <si>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</si>
  <si>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</si>
  <si>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</si>
  <si>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</si>
  <si>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</si>
  <si>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</si>
  <si>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</si>
  <si>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</si>
  <si>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</si>
  <si>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</si>
  <si>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</si>
  <si>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</si>
  <si>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</si>
  <si>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</si>
  <si>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</si>
  <si>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</si>
  <si>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</si>
  <si>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</si>
  <si>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</si>
  <si>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</si>
  <si>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</si>
  <si>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</si>
  <si>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</si>
  <si>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</si>
  <si>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</si>
  <si>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</si>
  <si>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</si>
  <si>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</si>
  <si>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</si>
  <si>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</si>
  <si>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</si>
  <si>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</si>
  <si>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</si>
  <si>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</si>
  <si>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</si>
  <si>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</si>
  <si>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</si>
  <si>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</si>
  <si>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</si>
  <si>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</si>
  <si>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</si>
  <si>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</si>
  <si>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</si>
  <si>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</si>
  <si>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</si>
  <si>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</si>
  <si>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</si>
  <si>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</si>
  <si>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</si>
  <si>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</si>
  <si>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</si>
  <si>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</si>
  <si>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</si>
  <si>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</si>
  <si>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</si>
  <si>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</si>
  <si>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</si>
  <si>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</si>
  <si>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</si>
  <si>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</si>
  <si>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</si>
  <si>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</si>
  <si>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</si>
  <si>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</si>
  <si>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</si>
  <si>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</si>
  <si>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</si>
  <si>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</si>
  <si>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</si>
  <si>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</si>
  <si>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</si>
  <si>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</si>
  <si>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</si>
  <si>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</si>
  <si>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</si>
  <si>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</si>
  <si>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</si>
  <si>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</si>
  <si>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</si>
  <si>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</si>
  <si>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</si>
  <si>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</si>
  <si>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</si>
  <si>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</si>
  <si>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</si>
  <si>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</si>
  <si>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</si>
  <si>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</si>
  <si>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</si>
  <si>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</si>
  <si>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</si>
  <si>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</si>
  <si>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</si>
  <si>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</si>
  <si>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</si>
  <si>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</si>
  <si>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</si>
  <si>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</si>
  <si>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</si>
  <si>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</si>
  <si>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</si>
  <si>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</si>
  <si>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</si>
  <si>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</si>
  <si>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</si>
  <si>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</si>
  <si>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</si>
  <si>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</si>
  <si>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</si>
  <si>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</si>
  <si>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</si>
  <si>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</si>
  <si>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</si>
  <si>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</si>
  <si>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</si>
  <si>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</si>
  <si>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</si>
  <si>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</si>
  <si>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</si>
  <si>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</si>
  <si>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</si>
  <si>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</si>
  <si>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</si>
  <si>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</si>
  <si>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</si>
  <si>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</si>
  <si>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</si>
  <si>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</si>
  <si>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</si>
  <si>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</si>
  <si>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</si>
  <si>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</si>
  <si>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</si>
  <si>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</si>
  <si>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</si>
  <si>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</si>
  <si>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</si>
  <si>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</si>
  <si>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</si>
  <si>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</si>
  <si>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</si>
  <si>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</si>
  <si>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</si>
  <si>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</si>
  <si>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</si>
  <si>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</si>
  <si>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</si>
  <si>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</si>
  <si>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</si>
  <si>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</si>
  <si>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</si>
  <si>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</si>
  <si>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</si>
  <si>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</si>
  <si>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</si>
  <si>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</si>
  <si>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</si>
  <si>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</si>
  <si>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</si>
  <si>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</si>
  <si>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</si>
  <si>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</si>
  <si>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</si>
  <si>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</si>
  <si>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</si>
  <si>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</si>
  <si>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</si>
  <si>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</si>
  <si>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</si>
  <si>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</si>
  <si>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</si>
  <si>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</si>
  <si>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</si>
  <si>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</si>
  <si>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</si>
  <si>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</si>
  <si>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</si>
  <si>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</si>
  <si>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</si>
  <si>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</si>
  <si>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</si>
  <si>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</si>
  <si>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</si>
  <si>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</si>
  <si>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</si>
  <si>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</si>
  <si>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</si>
  <si>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</si>
  <si>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</si>
  <si>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</si>
  <si>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</si>
  <si>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</si>
  <si>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</si>
  <si>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</si>
  <si>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</si>
  <si>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</si>
  <si>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</si>
  <si>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</si>
  <si>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</si>
  <si>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</si>
  <si>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</si>
  <si>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</si>
  <si>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</si>
  <si>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</si>
  <si>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</si>
  <si>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</si>
  <si>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</si>
  <si>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</si>
  <si>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</si>
  <si>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</si>
  <si>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</si>
  <si>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</si>
  <si>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</si>
  <si>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</si>
  <si>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</si>
  <si>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</si>
  <si>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</si>
  <si>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</si>
  <si>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</si>
  <si>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</si>
  <si>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</si>
  <si>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</si>
  <si>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</si>
  <si>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</si>
  <si>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</si>
  <si>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</si>
  <si>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</si>
  <si>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</si>
  <si>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</si>
  <si>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</si>
  <si>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</si>
  <si>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</si>
  <si>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</si>
  <si>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</si>
  <si>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</si>
  <si>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</si>
  <si>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</si>
  <si>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</si>
  <si>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</si>
  <si>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</si>
  <si>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</si>
  <si>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</si>
  <si>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</si>
  <si>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</si>
  <si>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</si>
  <si>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</si>
  <si>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</si>
  <si>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</si>
  <si>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</si>
  <si>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</si>
  <si>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</si>
  <si>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</si>
  <si>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</si>
  <si>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</si>
  <si>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</si>
  <si>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</si>
  <si>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</si>
  <si>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</si>
  <si>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</si>
  <si>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</si>
  <si>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</si>
  <si>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</si>
  <si>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</si>
  <si>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</si>
  <si>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</si>
  <si>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</si>
  <si>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</si>
  <si>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</si>
  <si>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</si>
  <si>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</si>
  <si>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</si>
  <si>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</si>
  <si>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</si>
  <si>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</si>
  <si>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</si>
  <si>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</si>
  <si>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</si>
  <si>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</si>
  <si>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</si>
  <si>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</si>
  <si>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</si>
  <si>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</si>
  <si>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</si>
  <si>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</si>
  <si>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</si>
  <si>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</si>
  <si>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</si>
  <si>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</si>
  <si>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</si>
  <si>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</si>
  <si>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</si>
  <si>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</si>
  <si>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</si>
  <si>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</si>
  <si>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</si>
  <si>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</si>
  <si>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</si>
  <si>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</si>
  <si>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</si>
  <si>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</si>
  <si>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</si>
  <si>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</si>
  <si>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</si>
  <si>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</si>
  <si>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</si>
  <si>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</si>
  <si>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</si>
  <si>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</si>
  <si>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</si>
  <si>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</si>
  <si>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</si>
  <si>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</si>
  <si>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</si>
  <si>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</si>
  <si>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</si>
  <si>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</si>
  <si>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</si>
  <si>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</si>
  <si>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</si>
  <si>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</si>
  <si>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</si>
  <si>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</si>
  <si>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</si>
  <si>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</si>
  <si>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</si>
  <si>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</si>
  <si>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</si>
  <si>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</si>
  <si>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</si>
  <si>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</si>
  <si>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</si>
  <si>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</si>
  <si>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</si>
  <si>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</si>
  <si>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</si>
  <si>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</si>
  <si>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</si>
  <si>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</si>
  <si>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</si>
  <si>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</si>
  <si>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</si>
  <si>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</si>
  <si>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</si>
  <si>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</si>
  <si>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</si>
  <si>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</si>
  <si>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</si>
  <si>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</si>
  <si>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</si>
  <si>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</si>
  <si>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</si>
  <si>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</si>
  <si>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</si>
  <si>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</si>
  <si>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</si>
  <si>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</si>
  <si>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</si>
  <si>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</si>
  <si>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</si>
  <si>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</si>
  <si>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</si>
  <si>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</si>
  <si>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</si>
  <si>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</si>
  <si>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</si>
  <si>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</si>
  <si>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</si>
  <si>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</si>
  <si>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</si>
  <si>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</si>
  <si>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</si>
  <si>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</si>
  <si>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</si>
  <si>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</si>
  <si>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</si>
  <si>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</si>
  <si>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</si>
  <si>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</si>
  <si>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</si>
  <si>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</si>
  <si>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</si>
  <si>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</si>
  <si>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</si>
  <si>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</si>
  <si>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</si>
  <si>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</si>
  <si>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</si>
  <si>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</si>
  <si>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</si>
  <si>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</si>
  <si>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</si>
  <si>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</si>
  <si>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</si>
  <si>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</si>
  <si>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</si>
  <si>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</si>
  <si>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</si>
  <si>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</si>
  <si>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</si>
  <si>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</si>
  <si>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</si>
  <si>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</si>
  <si>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</si>
  <si>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</si>
  <si>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</si>
  <si>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</si>
  <si>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</si>
  <si>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</si>
  <si>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</si>
  <si>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</si>
  <si>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</si>
  <si>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</si>
  <si>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</si>
  <si>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</si>
  <si>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</si>
  <si>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</si>
  <si>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</si>
  <si>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</si>
  <si>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</si>
  <si>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</si>
  <si>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</si>
  <si>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</si>
  <si>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</si>
  <si>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</si>
  <si>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</si>
  <si>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</si>
  <si>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</si>
  <si>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</si>
  <si>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</si>
  <si>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</si>
  <si>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</si>
  <si>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</si>
  <si>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</si>
  <si>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</si>
  <si>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</si>
  <si>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</si>
  <si>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</si>
  <si>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</si>
  <si>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</si>
  <si>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</si>
  <si>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</si>
  <si>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</si>
  <si>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</si>
  <si>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</si>
  <si>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</si>
  <si>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</si>
  <si>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</si>
  <si>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</si>
  <si>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</si>
  <si>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</si>
  <si>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</si>
  <si>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</si>
  <si>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</si>
  <si>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</si>
  <si>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</si>
  <si>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</si>
  <si>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</si>
  <si>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</si>
  <si>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</si>
  <si>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</si>
  <si>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</si>
  <si>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</si>
  <si>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</si>
  <si>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</si>
  <si>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</si>
  <si>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</si>
  <si>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</si>
  <si>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</si>
  <si>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</si>
  <si>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</si>
  <si>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</si>
  <si>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</si>
  <si>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</si>
  <si>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</si>
  <si>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</si>
  <si>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</si>
  <si>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</si>
  <si>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</si>
  <si>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</si>
  <si>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</si>
  <si>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</si>
  <si>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</si>
  <si>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</si>
  <si>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</si>
  <si>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</si>
  <si>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</si>
  <si>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</si>
  <si>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</si>
  <si>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</si>
  <si>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</si>
  <si>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</si>
  <si>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</si>
  <si>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</si>
  <si>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</si>
  <si>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</si>
  <si>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</si>
  <si>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</si>
  <si>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</si>
  <si>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</si>
  <si>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</si>
  <si>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</si>
  <si>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</si>
  <si>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</si>
  <si>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</si>
  <si>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</si>
  <si>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</si>
  <si>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</si>
  <si>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</si>
  <si>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</si>
  <si>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</si>
  <si>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</si>
  <si>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</si>
  <si>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</si>
  <si>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</si>
  <si>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</si>
  <si>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</si>
  <si>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</si>
  <si>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</si>
  <si>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</si>
  <si>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</si>
  <si>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</si>
  <si>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</si>
  <si>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</si>
  <si>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</si>
  <si>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</si>
  <si>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</si>
  <si>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</si>
  <si>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</si>
  <si>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</si>
  <si>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</si>
  <si>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</si>
  <si>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</si>
  <si>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</si>
  <si>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</si>
  <si>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</si>
  <si>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</si>
  <si>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</si>
  <si>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</si>
  <si>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</si>
  <si>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</si>
  <si>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</si>
  <si>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</si>
  <si>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</si>
  <si>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</si>
  <si>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</si>
  <si>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</si>
  <si>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</si>
  <si>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</si>
  <si>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</si>
  <si>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</si>
  <si>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</si>
  <si>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</si>
  <si>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</si>
  <si>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</si>
  <si>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</si>
  <si>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</si>
  <si>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</si>
  <si>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</si>
  <si>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</si>
  <si>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</si>
  <si>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</si>
  <si>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</si>
  <si>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</si>
  <si>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</si>
  <si>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</si>
  <si>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</si>
  <si>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</si>
  <si>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</si>
  <si>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</si>
  <si>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</si>
  <si>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</si>
  <si>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</si>
  <si>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</si>
  <si>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</si>
  <si>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</si>
  <si>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</si>
  <si>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</si>
  <si>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</si>
  <si>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</si>
  <si>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</si>
  <si>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</si>
  <si>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</si>
  <si>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</si>
  <si>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</si>
  <si>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</si>
  <si>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</si>
  <si>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</si>
  <si>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</si>
  <si>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</si>
  <si>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</si>
  <si>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</si>
  <si>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</si>
  <si>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</si>
  <si>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</si>
  <si>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</si>
  <si>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</si>
  <si>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</si>
  <si>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</si>
  <si>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</si>
  <si>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</si>
  <si>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</si>
  <si>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</si>
  <si>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</si>
  <si>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</si>
  <si>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</si>
  <si>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</si>
  <si>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</si>
  <si>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</si>
  <si>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</si>
  <si>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</si>
  <si>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</si>
  <si>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</si>
  <si>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</si>
  <si>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</si>
  <si>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</si>
  <si>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</si>
  <si>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</si>
  <si>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</si>
  <si>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</si>
  <si>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</si>
  <si>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</si>
  <si>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</si>
  <si>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</si>
  <si>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</si>
  <si>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</si>
  <si>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</si>
  <si>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</si>
  <si>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</si>
  <si>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</si>
  <si>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</si>
  <si>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</si>
  <si>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</si>
  <si>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</si>
  <si>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</si>
  <si>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</si>
  <si>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</si>
  <si>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</si>
  <si>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</si>
  <si>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</si>
  <si>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</si>
  <si>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</si>
  <si>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</si>
  <si>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</si>
  <si>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</si>
  <si>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</si>
  <si>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</si>
  <si>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</si>
  <si>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</si>
  <si>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</si>
  <si>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</si>
  <si>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</si>
  <si>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</si>
  <si>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</si>
  <si>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</si>
  <si>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</si>
  <si>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</si>
  <si>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</si>
  <si>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</si>
  <si>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</si>
  <si>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</si>
  <si>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</si>
  <si>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</si>
  <si>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</si>
  <si>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</si>
  <si>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</si>
  <si>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</si>
  <si>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</si>
  <si>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</si>
  <si>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</si>
  <si>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</si>
  <si>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</si>
  <si>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</si>
  <si>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</si>
  <si>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</si>
  <si>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</si>
  <si>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</si>
  <si>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</si>
  <si>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</si>
  <si>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</si>
  <si>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</si>
  <si>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</si>
  <si>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</si>
  <si>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</si>
  <si>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</si>
  <si>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</si>
  <si>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</si>
  <si>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</si>
  <si>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</si>
  <si>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</si>
  <si>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</si>
  <si>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</si>
  <si>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</si>
  <si>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</si>
  <si>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</si>
  <si>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</si>
  <si>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</si>
  <si>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</si>
  <si>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</si>
  <si>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</si>
  <si>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</si>
  <si>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</si>
  <si>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</si>
  <si>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</si>
  <si>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</si>
  <si>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</si>
  <si>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</si>
  <si>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</si>
  <si>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</si>
  <si>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</si>
  <si>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</si>
  <si>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</si>
  <si>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</si>
  <si>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</si>
  <si>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</si>
  <si>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</si>
  <si>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</si>
  <si>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</si>
  <si>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</si>
  <si>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</si>
  <si>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</si>
  <si>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</si>
  <si>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</si>
  <si>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</si>
  <si>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</si>
  <si>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</si>
  <si>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</si>
  <si>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</si>
  <si>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</si>
  <si>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</si>
  <si>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</si>
  <si>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</si>
  <si>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</si>
  <si>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</si>
  <si>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</si>
  <si>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</si>
  <si>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</si>
  <si>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</si>
  <si>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</si>
  <si>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</si>
  <si>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</si>
  <si>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</si>
  <si>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</si>
  <si>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</si>
  <si>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</si>
  <si>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</si>
  <si>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</si>
  <si>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</si>
  <si>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</si>
  <si>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</si>
  <si>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</si>
  <si>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</si>
  <si>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</si>
  <si>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</si>
  <si>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</si>
  <si>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</si>
  <si>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</si>
  <si>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</si>
  <si>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</si>
  <si>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</si>
  <si>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</si>
  <si>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</si>
  <si>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</si>
  <si>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</si>
  <si>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</si>
  <si>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</si>
  <si>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</si>
  <si>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</si>
  <si>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</si>
  <si>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</si>
  <si>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</si>
  <si>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</si>
  <si>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</si>
  <si>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</si>
  <si>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</si>
  <si>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</si>
  <si>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</si>
  <si>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</si>
  <si>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</si>
  <si>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</si>
  <si>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</si>
  <si>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</si>
  <si>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</si>
  <si>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</si>
  <si>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</si>
  <si>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</si>
  <si>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</si>
  <si>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</si>
  <si>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</si>
  <si>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</si>
  <si>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</si>
  <si>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</si>
  <si>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</si>
  <si>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</si>
  <si>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</si>
  <si>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</si>
  <si>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</si>
  <si>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</si>
  <si>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</si>
  <si>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</si>
  <si>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</si>
  <si>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</si>
  <si>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</si>
  <si>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</si>
  <si>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</si>
  <si>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</si>
  <si>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</si>
  <si>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</si>
  <si>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</si>
  <si>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</si>
  <si>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</si>
  <si>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</si>
  <si>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</si>
  <si>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</si>
  <si>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</si>
  <si>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</si>
  <si>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</si>
  <si>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</si>
  <si>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</si>
  <si>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</si>
  <si>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</si>
  <si>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</si>
  <si>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</si>
  <si>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</si>
  <si>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</si>
  <si>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</si>
  <si>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</si>
  <si>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</si>
  <si>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</si>
  <si>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</si>
  <si>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</si>
  <si>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</si>
  <si>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</si>
  <si>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</si>
  <si>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</si>
  <si>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</si>
  <si>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</si>
  <si>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</si>
  <si>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</si>
  <si>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</si>
  <si>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</si>
  <si>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</si>
  <si>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</si>
  <si>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</si>
  <si>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</si>
  <si>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</si>
  <si>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</si>
  <si>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</si>
  <si>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</si>
  <si>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</si>
  <si>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</si>
  <si>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</si>
  <si>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</si>
  <si>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</si>
  <si>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</si>
  <si>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</si>
  <si>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</si>
  <si>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</si>
  <si>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</si>
  <si>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</si>
  <si>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</si>
  <si>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</si>
  <si>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</si>
  <si>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</si>
  <si>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</si>
  <si>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</si>
  <si>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</si>
  <si>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</si>
  <si>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</si>
  <si>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</si>
  <si>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</si>
  <si>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</si>
  <si>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</si>
  <si>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</si>
  <si>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</si>
  <si>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</si>
  <si>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</si>
  <si>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</si>
  <si>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</si>
  <si>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</si>
  <si>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</si>
  <si>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</si>
  <si>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</si>
  <si>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</si>
  <si>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</si>
  <si>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</si>
  <si>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</si>
  <si>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</si>
  <si>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</si>
  <si>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</si>
  <si>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</si>
  <si>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</si>
  <si>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</si>
  <si>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</si>
  <si>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</si>
  <si>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</si>
  <si>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</si>
  <si>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</si>
  <si>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</si>
  <si>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</si>
  <si>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</si>
  <si>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</si>
  <si>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</si>
  <si>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</si>
  <si>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</si>
  <si>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</si>
  <si>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</si>
  <si>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</si>
  <si>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</si>
  <si>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</si>
  <si>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</si>
  <si>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</si>
  <si>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</si>
  <si>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</si>
  <si>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</si>
  <si>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</si>
  <si>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</si>
  <si>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</si>
  <si>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</si>
  <si>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</si>
  <si>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</si>
  <si>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</si>
  <si>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</si>
  <si>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</si>
  <si>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</si>
  <si>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</si>
  <si>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</si>
  <si>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</si>
  <si>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</si>
  <si>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</si>
  <si>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</si>
  <si>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</si>
  <si>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</si>
  <si>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</si>
  <si>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</si>
  <si>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</si>
  <si>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</si>
  <si>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</si>
  <si>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</si>
  <si>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</si>
  <si>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</si>
  <si>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</si>
  <si>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</si>
  <si>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</si>
  <si>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</si>
  <si>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</si>
  <si>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</si>
  <si>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</si>
  <si>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</si>
  <si>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</si>
  <si>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</si>
  <si>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</si>
  <si>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</si>
  <si>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</si>
  <si>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</si>
  <si>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</si>
  <si>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</si>
  <si>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</si>
  <si>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</si>
  <si>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</si>
  <si>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</si>
  <si>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</si>
  <si>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</si>
  <si>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</si>
  <si>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</si>
  <si>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</si>
  <si>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</si>
  <si>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</si>
  <si>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</si>
  <si>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</si>
  <si>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</si>
  <si>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</si>
  <si>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</si>
  <si>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</si>
  <si>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</si>
  <si>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</si>
  <si>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</si>
  <si>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</si>
  <si>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</si>
  <si>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</si>
  <si>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</si>
  <si>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</si>
  <si>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</si>
  <si>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</si>
  <si>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</si>
  <si>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</si>
  <si>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</si>
  <si>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</si>
  <si>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</si>
  <si>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</si>
  <si>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</si>
  <si>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</si>
  <si>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</si>
  <si>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</si>
  <si>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</si>
  <si>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</si>
  <si>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</si>
  <si>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</si>
  <si>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</si>
  <si>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</si>
  <si>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</si>
  <si>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</si>
  <si>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</si>
  <si>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</si>
  <si>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</si>
  <si>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</si>
  <si>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</si>
  <si>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</si>
  <si>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</si>
  <si>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</si>
  <si>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</si>
  <si>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</si>
  <si>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</si>
  <si>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</si>
  <si>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</si>
  <si>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</si>
  <si>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</si>
  <si>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</si>
  <si>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</si>
  <si>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</si>
  <si>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</si>
  <si>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</si>
  <si>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</si>
  <si>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</si>
  <si>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</si>
  <si>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</si>
  <si>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</si>
  <si>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</si>
  <si>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</si>
  <si>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</si>
  <si>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</si>
  <si>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</si>
  <si>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</si>
  <si>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</si>
  <si>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</si>
  <si>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</si>
  <si>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</si>
  <si>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</si>
  <si>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</si>
  <si>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</si>
  <si>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</si>
  <si>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</si>
  <si>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</si>
  <si>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</si>
  <si>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</si>
  <si>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</si>
  <si>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</si>
  <si>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</si>
  <si>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</si>
  <si>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</si>
  <si>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</si>
  <si>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</si>
  <si>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</si>
  <si>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</si>
  <si>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</si>
  <si>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</si>
  <si>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</si>
  <si>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</si>
  <si>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</si>
  <si>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</si>
  <si>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</si>
  <si>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</si>
  <si>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</si>
  <si>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</si>
  <si>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</si>
  <si>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</si>
  <si>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</si>
  <si>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</si>
  <si>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</si>
  <si>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</si>
  <si>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</si>
  <si>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</si>
  <si>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</si>
  <si>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</si>
  <si>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</si>
  <si>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</si>
  <si>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</si>
  <si>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</si>
  <si>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</si>
  <si>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</si>
  <si>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</si>
  <si>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</si>
  <si>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</si>
  <si>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</si>
  <si>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</si>
  <si>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</si>
  <si>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</si>
  <si>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</si>
  <si>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</si>
  <si>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</si>
  <si>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</si>
  <si>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</si>
  <si>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</si>
  <si>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</si>
  <si>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</si>
  <si>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</si>
  <si>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</si>
  <si>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</si>
  <si>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</si>
  <si>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</si>
  <si>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</si>
  <si>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</si>
  <si>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</si>
  <si>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</si>
  <si>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</si>
  <si>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</si>
  <si>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</si>
  <si>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</si>
  <si>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</si>
  <si>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</si>
  <si>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</si>
  <si>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</si>
  <si>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</si>
  <si>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</si>
  <si>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</si>
  <si>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</si>
  <si>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</si>
  <si>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</si>
  <si>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</si>
  <si>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</si>
  <si>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</si>
  <si>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</si>
  <si>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</si>
  <si>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</si>
  <si>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</si>
  <si>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</si>
  <si>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</si>
  <si>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</si>
  <si>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</si>
  <si>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</si>
  <si>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</si>
  <si>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</si>
  <si>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</si>
  <si>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</si>
  <si>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</si>
  <si>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</si>
  <si>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</si>
  <si>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</si>
  <si>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</si>
  <si>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</si>
  <si>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</si>
  <si>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</si>
  <si>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</si>
  <si>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</si>
  <si>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</si>
  <si>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</si>
  <si>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</si>
  <si>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</si>
  <si>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</si>
  <si>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</si>
  <si>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</si>
  <si>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</si>
  <si>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</si>
  <si>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</si>
  <si>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</si>
  <si>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</si>
  <si>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</si>
  <si>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</si>
  <si>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</si>
  <si>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</si>
  <si>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</si>
  <si>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</si>
  <si>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</si>
  <si>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</si>
  <si>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</si>
  <si>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</si>
  <si>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</si>
  <si>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</si>
  <si>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</si>
  <si>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</si>
  <si>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</si>
  <si>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</si>
  <si>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</si>
  <si>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</si>
  <si>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</si>
  <si>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</si>
  <si>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</si>
  <si>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</si>
  <si>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</si>
  <si>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</si>
  <si>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</si>
  <si>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</si>
  <si>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</si>
  <si>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</si>
  <si>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</si>
  <si>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</si>
  <si>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</si>
  <si>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</si>
  <si>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</si>
  <si>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</si>
  <si>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</si>
  <si>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</si>
  <si>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</si>
  <si>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</si>
  <si>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</si>
  <si>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</si>
  <si>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</si>
  <si>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</si>
  <si>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</si>
  <si>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</si>
  <si>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</si>
  <si>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</si>
  <si>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</si>
  <si>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</si>
  <si>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</si>
  <si>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</si>
  <si>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</si>
  <si>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</si>
  <si>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</si>
  <si>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</si>
  <si>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</si>
  <si>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</si>
  <si>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</si>
  <si>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</si>
  <si>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</si>
  <si>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</si>
  <si>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</si>
  <si>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</si>
  <si>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</si>
  <si>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</si>
  <si>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</si>
  <si>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</si>
  <si>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</si>
  <si>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</si>
  <si>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</si>
  <si>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</si>
  <si>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</si>
  <si>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</si>
  <si>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</si>
  <si>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</si>
  <si>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</si>
  <si>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</si>
  <si>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</si>
  <si>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</si>
  <si>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</si>
  <si>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</si>
  <si>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</si>
  <si>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</si>
  <si>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</si>
  <si>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</si>
  <si>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</si>
  <si>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</si>
  <si>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</si>
  <si>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</si>
  <si>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</si>
  <si>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</si>
  <si>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</si>
  <si>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</si>
  <si>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</si>
  <si>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</si>
  <si>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</si>
  <si>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</si>
  <si>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</si>
  <si>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</si>
  <si>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</si>
  <si>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</si>
  <si>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</si>
  <si>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</si>
  <si>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</si>
  <si>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</si>
  <si>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</si>
  <si>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</si>
  <si>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</si>
  <si>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</si>
  <si>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</si>
  <si>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</si>
  <si>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</si>
  <si>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</si>
  <si>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</si>
  <si>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</si>
  <si>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</si>
  <si>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</si>
  <si>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</si>
  <si>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</si>
  <si>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</si>
  <si>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</si>
  <si>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</si>
  <si>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</si>
  <si>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</si>
  <si>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</si>
  <si>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</si>
  <si>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</si>
  <si>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</si>
  <si>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</si>
  <si>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</si>
  <si>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</si>
  <si>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</si>
  <si>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</si>
  <si>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</si>
  <si>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</si>
  <si>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</si>
  <si>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</si>
  <si>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</si>
  <si>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</si>
  <si>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</si>
  <si>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</si>
  <si>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</si>
  <si>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</si>
  <si>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</si>
  <si>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</si>
  <si>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</si>
  <si>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</si>
  <si>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</si>
  <si>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</si>
  <si>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</si>
  <si>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</si>
  <si>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</si>
  <si>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</si>
  <si>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</si>
  <si>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</si>
  <si>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</si>
  <si>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</si>
  <si>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</si>
  <si>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</si>
  <si>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</si>
  <si>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</si>
  <si>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</si>
  <si>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</si>
  <si>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</si>
  <si>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</si>
  <si>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</si>
  <si>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</si>
  <si>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</si>
  <si>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</si>
  <si>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</si>
  <si>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</si>
  <si>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</si>
  <si>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</si>
  <si>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</si>
  <si>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</si>
  <si>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</si>
  <si>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</si>
  <si>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</si>
  <si>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</si>
  <si>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</si>
  <si>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</si>
  <si>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</si>
  <si>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</si>
  <si>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</si>
  <si>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</si>
  <si>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</si>
  <si>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</si>
  <si>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</si>
  <si>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</si>
  <si>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</si>
  <si>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</si>
  <si>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</si>
  <si>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</si>
  <si>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</si>
  <si>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</si>
  <si>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</si>
  <si>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</si>
  <si>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</si>
  <si>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</si>
  <si>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</si>
  <si>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</si>
  <si>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</si>
  <si>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</si>
  <si>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</si>
  <si>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</si>
  <si>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</si>
  <si>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</si>
  <si>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</si>
  <si>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</si>
  <si>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</si>
  <si>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</si>
  <si>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</si>
  <si>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</si>
  <si>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</si>
  <si>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</si>
  <si>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</si>
  <si>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</si>
  <si>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</si>
  <si>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</si>
  <si>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</si>
  <si>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</si>
  <si>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</si>
  <si>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</si>
  <si>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</si>
  <si>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</si>
  <si>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</si>
  <si>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</si>
  <si>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</si>
  <si>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</si>
  <si>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</si>
  <si>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</si>
  <si>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</si>
  <si>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</si>
  <si>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</si>
  <si>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</si>
  <si>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</si>
  <si>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</si>
  <si>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</si>
  <si>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</si>
  <si>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</si>
  <si>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</si>
  <si>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</si>
  <si>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</si>
  <si>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</si>
  <si>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</si>
  <si>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</si>
  <si>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</si>
  <si>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</si>
  <si>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</si>
  <si>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</si>
  <si>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</si>
  <si>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</si>
  <si>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</si>
  <si>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</si>
  <si>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</si>
  <si>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</si>
  <si>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</si>
  <si>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</si>
  <si>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</si>
  <si>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</si>
  <si>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</si>
  <si>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</si>
  <si>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</si>
  <si>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</si>
  <si>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</si>
  <si>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</si>
  <si>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</si>
  <si>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</si>
  <si>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</si>
  <si>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</si>
  <si>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</si>
  <si>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</si>
  <si>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</si>
  <si>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</si>
  <si>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</si>
  <si>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</si>
  <si>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</si>
  <si>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</si>
  <si>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</si>
  <si>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</si>
  <si>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</si>
  <si>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</si>
  <si>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</si>
  <si>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</si>
  <si>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</si>
  <si>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</si>
  <si>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</si>
  <si>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</si>
  <si>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</si>
  <si>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</si>
  <si>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</si>
  <si>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</si>
  <si>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</si>
  <si>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</si>
  <si>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</si>
  <si>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</si>
  <si>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</si>
  <si>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</si>
  <si>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</si>
  <si>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</si>
  <si>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</si>
  <si>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</si>
  <si>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</si>
  <si>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</si>
  <si>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</si>
  <si>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</si>
  <si>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</si>
  <si>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</si>
  <si>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</si>
  <si>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</si>
  <si>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</si>
  <si>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</si>
  <si>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</si>
  <si>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</si>
  <si>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</si>
  <si>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</si>
  <si>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</si>
  <si>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</si>
  <si>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</si>
  <si>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</si>
  <si>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</si>
  <si>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</si>
  <si>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</si>
  <si>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</si>
  <si>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</si>
  <si>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</si>
  <si>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</si>
  <si>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</si>
  <si>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</si>
  <si>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</si>
  <si>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</si>
  <si>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</si>
  <si>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</si>
  <si>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</si>
  <si>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</si>
  <si>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</si>
  <si>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</si>
  <si>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</si>
  <si>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</si>
  <si>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</si>
  <si>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</si>
  <si>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</si>
  <si>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</si>
  <si>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</si>
  <si>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</si>
  <si>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</si>
  <si>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</si>
  <si>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</si>
  <si>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</si>
  <si>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</si>
  <si>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</si>
  <si>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</si>
  <si>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</si>
  <si>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</si>
  <si>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</si>
  <si>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</si>
  <si>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</si>
  <si>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</si>
  <si>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</si>
  <si>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</si>
  <si>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</si>
  <si>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</si>
  <si>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</si>
  <si>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</si>
  <si>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</si>
  <si>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</si>
  <si>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</si>
  <si>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</si>
  <si>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</si>
  <si>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</si>
  <si>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</si>
  <si>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</si>
  <si>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</si>
  <si>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</si>
  <si>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</si>
  <si>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</si>
  <si>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</si>
  <si>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</si>
  <si>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</si>
  <si>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</si>
  <si>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</si>
  <si>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</si>
  <si>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</si>
  <si>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</si>
  <si>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</si>
  <si>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</si>
  <si>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</si>
  <si>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</si>
  <si>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</si>
  <si>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</si>
  <si>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</si>
  <si>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</si>
  <si>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</si>
  <si>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</si>
  <si>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</si>
  <si>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</si>
  <si>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</si>
  <si>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</si>
  <si>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</si>
  <si>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</si>
  <si>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</si>
  <si>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</si>
  <si>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</si>
  <si>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</si>
  <si>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</si>
  <si>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</si>
  <si>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</si>
  <si>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</si>
  <si>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</si>
  <si>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</si>
  <si>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</si>
  <si>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</si>
  <si>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</si>
  <si>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</si>
  <si>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</si>
  <si>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</si>
  <si>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</si>
  <si>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</si>
  <si>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</si>
  <si>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</si>
  <si>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</si>
  <si>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</si>
  <si>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</si>
  <si>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</si>
  <si>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</si>
  <si>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</si>
  <si>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</si>
  <si>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</si>
  <si>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</si>
  <si>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</si>
  <si>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</si>
  <si>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</si>
  <si>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</si>
  <si>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</si>
  <si>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</si>
  <si>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</si>
  <si>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</si>
  <si>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</si>
  <si>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</si>
  <si>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</si>
  <si>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</si>
  <si>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</si>
  <si>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</si>
  <si>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</si>
  <si>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</si>
  <si>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</si>
  <si>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</si>
  <si>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</si>
  <si>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</si>
  <si>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</si>
  <si>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</si>
  <si>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</si>
  <si>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</si>
  <si>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</si>
  <si>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</si>
  <si>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</si>
  <si>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</si>
  <si>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</si>
  <si>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</si>
  <si>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</si>
  <si>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</si>
  <si>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</si>
  <si>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</si>
  <si>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</si>
  <si>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</si>
  <si>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</si>
  <si>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</si>
  <si>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</si>
  <si>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</si>
  <si>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</si>
  <si>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</si>
  <si>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</si>
  <si>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</si>
  <si>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</si>
  <si>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</si>
  <si>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</si>
  <si>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</si>
  <si>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</si>
  <si>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</si>
  <si>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</si>
  <si>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</si>
  <si>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</si>
  <si>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</si>
  <si>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</si>
  <si>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</si>
  <si>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</si>
  <si>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</si>
  <si>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</si>
  <si>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</si>
  <si>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</si>
  <si>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</si>
  <si>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</si>
  <si>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</si>
  <si>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</si>
  <si>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</si>
  <si>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</si>
  <si>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</si>
  <si>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</si>
  <si>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</si>
  <si>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</si>
  <si>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</si>
  <si>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</si>
  <si>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</si>
  <si>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</si>
  <si>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</si>
  <si>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</si>
  <si>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</si>
  <si>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</si>
  <si>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</si>
  <si>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</si>
  <si>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</si>
  <si>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</si>
  <si>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</si>
  <si>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</si>
  <si>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</si>
  <si>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</si>
  <si>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</si>
  <si>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</si>
  <si>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</si>
  <si>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</si>
  <si>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</si>
  <si>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</si>
  <si>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</si>
  <si>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</si>
  <si>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</si>
  <si>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</si>
  <si>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</si>
  <si>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</si>
  <si>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</si>
  <si>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</si>
  <si>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</si>
  <si>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</si>
  <si>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</si>
  <si>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</si>
  <si>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</si>
  <si>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</si>
  <si>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</si>
  <si>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</si>
  <si>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</si>
  <si>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</si>
  <si>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</si>
  <si>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</si>
  <si>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</si>
  <si>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</si>
  <si>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</si>
  <si>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</si>
  <si>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</si>
  <si>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</si>
  <si>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</si>
  <si>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</si>
  <si>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</si>
  <si>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</si>
  <si>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</si>
  <si>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</si>
  <si>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</si>
  <si>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</si>
  <si>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</si>
  <si>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</si>
  <si>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</si>
  <si>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</si>
  <si>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</si>
  <si>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</si>
  <si>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</si>
  <si>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</si>
  <si>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</si>
  <si>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</si>
  <si>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</si>
  <si>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</si>
  <si>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</si>
  <si>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</si>
  <si>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</si>
  <si>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</si>
  <si>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</si>
  <si>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</si>
  <si>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</si>
  <si>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</si>
  <si>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</si>
  <si>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</si>
  <si>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</si>
  <si>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</si>
  <si>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</si>
  <si>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</si>
  <si>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</si>
  <si>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</si>
  <si>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</si>
  <si>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</si>
  <si>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</si>
  <si>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</si>
  <si>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</si>
  <si>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</si>
  <si>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</si>
  <si>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</si>
  <si>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</si>
  <si>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</si>
  <si>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</si>
  <si>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</si>
  <si>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</si>
  <si>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</si>
  <si>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</si>
  <si>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</si>
  <si>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</si>
  <si>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</si>
  <si>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</si>
  <si>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</si>
  <si>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</si>
  <si>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</si>
  <si>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</si>
  <si>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</si>
  <si>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</si>
  <si>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</si>
  <si>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</si>
  <si>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</si>
  <si>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</si>
  <si>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</si>
  <si>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</si>
  <si>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</si>
  <si>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</si>
  <si>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</si>
  <si>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</si>
  <si>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</si>
  <si>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</si>
  <si>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</si>
  <si>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</si>
  <si>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</si>
  <si>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</si>
  <si>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</si>
  <si>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</si>
  <si>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</si>
  <si>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</si>
  <si>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</si>
  <si>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</si>
  <si>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</si>
  <si>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</si>
  <si>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</si>
  <si>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</si>
  <si>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</si>
  <si>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</si>
  <si>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</si>
  <si>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</si>
  <si>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</si>
  <si>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</si>
  <si>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</si>
  <si>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</si>
  <si>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</si>
  <si>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</si>
  <si>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</si>
  <si>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</si>
  <si>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</si>
  <si>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</si>
  <si>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</si>
  <si>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</si>
  <si>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</si>
  <si>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</si>
  <si>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</si>
  <si>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</si>
  <si>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</si>
  <si>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</si>
  <si>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</si>
  <si>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</si>
  <si>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</si>
  <si>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</si>
  <si>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</si>
  <si>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</si>
  <si>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</si>
  <si>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</si>
  <si>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</si>
  <si>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</si>
  <si>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</si>
  <si>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</si>
  <si>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</si>
  <si>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</si>
  <si>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</si>
  <si>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</si>
  <si>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</si>
  <si>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</si>
  <si>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</si>
  <si>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</si>
  <si>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</si>
  <si>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</si>
  <si>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</si>
  <si>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</si>
  <si>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</si>
  <si>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</si>
  <si>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</si>
  <si>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</si>
  <si>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</si>
  <si>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</si>
  <si>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</si>
  <si>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</si>
  <si>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</si>
  <si>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</si>
  <si>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</si>
  <si>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</si>
  <si>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</si>
  <si>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</si>
  <si>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</si>
  <si>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</si>
  <si>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</si>
  <si>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</si>
  <si>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</si>
  <si>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</si>
  <si>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</si>
  <si>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</si>
  <si>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</si>
  <si>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</si>
  <si>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</si>
  <si>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</si>
  <si>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</si>
  <si>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</si>
  <si>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</si>
  <si>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</si>
  <si>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</si>
  <si>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</si>
  <si>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</si>
  <si>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</si>
  <si>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</si>
  <si>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</si>
  <si>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</si>
  <si>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</si>
  <si>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</si>
  <si>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</si>
  <si>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</si>
  <si>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</si>
  <si>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</si>
  <si>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</si>
  <si>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</si>
  <si>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</si>
  <si>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</si>
  <si>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</si>
  <si>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</si>
  <si>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</si>
  <si>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</si>
  <si>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</si>
  <si>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</si>
  <si>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</si>
  <si>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</si>
  <si>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</si>
  <si>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</si>
  <si>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</si>
  <si>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</si>
  <si>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</si>
  <si>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</si>
  <si>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</si>
  <si>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</si>
  <si>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</si>
  <si>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</si>
  <si>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</si>
  <si>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</si>
  <si>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</si>
  <si>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</si>
  <si>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</si>
  <si>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</si>
  <si>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</si>
  <si>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</si>
  <si>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</si>
  <si>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</si>
  <si>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</si>
  <si>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</si>
  <si>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</si>
  <si>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</si>
  <si>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</si>
  <si>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</si>
  <si>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</si>
  <si>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</si>
  <si>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</si>
  <si>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</si>
  <si>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</si>
  <si>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</si>
  <si>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</si>
  <si>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</si>
  <si>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</si>
  <si>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</si>
  <si>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</si>
  <si>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</si>
  <si>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</si>
  <si>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</si>
  <si>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</si>
  <si>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</si>
  <si>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</si>
  <si>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</si>
  <si>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</si>
  <si>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</si>
  <si>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</si>
  <si>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</si>
  <si>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</si>
  <si>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</si>
  <si>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</si>
  <si>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</si>
  <si>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</si>
  <si>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</si>
  <si>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</si>
  <si>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</si>
  <si>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</si>
  <si>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</si>
  <si>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</si>
  <si>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</si>
  <si>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</si>
  <si>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</si>
  <si>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</si>
  <si>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</si>
  <si>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</si>
  <si>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</si>
  <si>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</si>
  <si>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</si>
  <si>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</si>
  <si>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</si>
  <si>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</si>
  <si>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</si>
  <si>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</si>
  <si>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</si>
  <si>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</si>
  <si>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</si>
  <si>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</si>
  <si>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</si>
  <si>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</si>
  <si>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</si>
  <si>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</si>
  <si>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</si>
  <si>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</si>
  <si>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</si>
  <si>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</si>
  <si>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</si>
  <si>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</si>
  <si>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</si>
  <si>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</si>
  <si>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</si>
  <si>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</si>
  <si>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</si>
  <si>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</si>
  <si>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</si>
  <si>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</si>
  <si>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</si>
  <si>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</si>
  <si>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</si>
  <si>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</si>
  <si>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</si>
  <si>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</si>
  <si>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</si>
  <si>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</si>
  <si>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</si>
  <si>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</si>
  <si>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</si>
  <si>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</si>
  <si>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</si>
  <si>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</si>
  <si>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</si>
  <si>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</si>
  <si>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</si>
  <si>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</si>
  <si>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</si>
  <si>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</si>
  <si>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</si>
  <si>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</si>
  <si>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</si>
  <si>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</si>
  <si>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</si>
  <si>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</si>
  <si>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</si>
  <si>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</si>
  <si>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</si>
  <si>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</si>
  <si>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</si>
  <si>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</si>
  <si>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</si>
  <si>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</si>
  <si>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</si>
  <si>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</si>
  <si>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</si>
  <si>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</si>
  <si>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</si>
  <si>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</si>
  <si>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</si>
  <si>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</si>
  <si>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</si>
  <si>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</si>
  <si>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</si>
  <si>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</si>
  <si>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</si>
  <si>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</si>
  <si>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</si>
  <si>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</si>
  <si>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</si>
  <si>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</si>
  <si>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</si>
  <si>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</si>
  <si>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</si>
  <si>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</si>
  <si>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</si>
  <si>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</si>
  <si>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</si>
  <si>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</si>
  <si>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</si>
  <si>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</si>
  <si>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</si>
  <si>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</si>
  <si>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</si>
  <si>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</si>
  <si>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</si>
  <si>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</si>
  <si>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</si>
  <si>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</si>
  <si>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</si>
  <si>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</si>
  <si>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</si>
  <si>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</si>
  <si>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</si>
  <si>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</si>
  <si>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</si>
  <si>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</si>
  <si>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</si>
  <si>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</si>
  <si>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</si>
  <si>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</si>
  <si>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</si>
  <si>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</si>
  <si>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</si>
  <si>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</si>
  <si>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</si>
  <si>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</si>
  <si>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</si>
  <si>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</si>
  <si>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</si>
  <si>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</si>
  <si>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</si>
  <si>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</si>
  <si>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</si>
  <si>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</si>
  <si>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</si>
  <si>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</si>
  <si>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</si>
  <si>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</si>
  <si>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</si>
  <si>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</si>
  <si>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</si>
  <si>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</si>
  <si>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</si>
  <si>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</si>
  <si>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</si>
  <si>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</si>
  <si>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</si>
  <si>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</si>
  <si>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</si>
  <si>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</si>
  <si>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</si>
  <si>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</si>
  <si>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</si>
  <si>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</si>
  <si>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</si>
  <si>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</si>
  <si>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</si>
  <si>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</si>
  <si>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</si>
  <si>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</si>
  <si>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</si>
  <si>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</si>
  <si>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</si>
  <si>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</si>
  <si>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</si>
  <si>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</si>
  <si>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</si>
  <si>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</si>
  <si>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</si>
  <si>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</si>
  <si>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</si>
  <si>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</si>
  <si>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</si>
  <si>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</si>
  <si>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</si>
  <si>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</si>
  <si>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</si>
  <si>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</si>
  <si>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</si>
  <si>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</si>
  <si>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</si>
  <si>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</si>
  <si>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</si>
  <si>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</si>
  <si>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</si>
  <si>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</si>
  <si>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</si>
  <si>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</si>
  <si>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</si>
  <si>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</si>
  <si>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</si>
  <si>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</si>
  <si>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</si>
  <si>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</si>
  <si>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</si>
  <si>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</si>
  <si>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</si>
  <si>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</si>
  <si>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</si>
  <si>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</si>
  <si>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</si>
  <si>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</si>
  <si>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</si>
  <si>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</si>
  <si>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</si>
  <si>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</si>
  <si>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</si>
  <si>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</si>
  <si>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</si>
  <si>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</si>
  <si>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</si>
  <si>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</si>
  <si>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</si>
  <si>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</si>
  <si>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</si>
  <si>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</si>
  <si>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</si>
  <si>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</si>
  <si>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</si>
  <si>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</si>
  <si>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</si>
  <si>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</si>
  <si>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</si>
  <si>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</si>
  <si>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</si>
  <si>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</si>
  <si>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</si>
  <si>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</si>
  <si>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</si>
  <si>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</si>
  <si>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</si>
  <si>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</si>
  <si>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</si>
  <si>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</si>
  <si>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</si>
  <si>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</si>
  <si>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</si>
  <si>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</si>
  <si>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</si>
  <si>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</si>
  <si>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</si>
  <si>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</si>
  <si>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</si>
  <si>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</si>
  <si>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</si>
  <si>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</si>
  <si>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</si>
  <si>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</si>
  <si>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</si>
  <si>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</si>
  <si>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</si>
  <si>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</si>
  <si>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</si>
  <si>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</si>
  <si>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</si>
  <si>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</si>
  <si>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</si>
  <si>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</si>
  <si>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</si>
  <si>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</si>
  <si>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</si>
  <si>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</si>
  <si>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</si>
  <si>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</si>
  <si>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</si>
  <si>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</si>
  <si>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</si>
  <si>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</si>
  <si>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</si>
  <si>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</si>
  <si>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</si>
  <si>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</si>
  <si>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</si>
  <si>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</si>
  <si>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</si>
  <si>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</si>
  <si>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</si>
  <si>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</si>
  <si>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</si>
  <si>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</si>
  <si>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</si>
  <si>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</si>
  <si>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</si>
  <si>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</si>
  <si>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</si>
  <si>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</si>
  <si>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</si>
  <si>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</si>
  <si>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</si>
  <si>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</si>
  <si>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</si>
  <si>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</si>
  <si>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</si>
  <si>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</si>
  <si>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</si>
  <si>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</si>
  <si>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</si>
  <si>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</si>
  <si>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</si>
  <si>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</si>
  <si>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</si>
  <si>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</si>
  <si>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</si>
  <si>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</si>
  <si>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</si>
  <si>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</si>
  <si>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</si>
  <si>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</si>
  <si>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</si>
  <si>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</si>
  <si>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</si>
  <si>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</si>
  <si>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</si>
  <si>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</si>
  <si>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</si>
  <si>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</si>
  <si>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</si>
  <si>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</si>
  <si>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</si>
  <si>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</si>
  <si>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</si>
  <si>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</si>
  <si>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</si>
  <si>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</si>
  <si>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</si>
  <si>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</si>
  <si>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</si>
  <si>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</si>
  <si>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</si>
  <si>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</si>
  <si>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</si>
  <si>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</si>
  <si>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</si>
  <si>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</si>
  <si>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</si>
  <si>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</si>
  <si>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</si>
  <si>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</si>
  <si>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</si>
  <si>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</si>
  <si>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</si>
  <si>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</si>
  <si>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</si>
  <si>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</si>
  <si>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</si>
  <si>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</si>
  <si>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</si>
  <si>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</si>
  <si>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</si>
  <si>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</si>
  <si>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</si>
  <si>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</si>
  <si>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</si>
  <si>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</si>
  <si>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</si>
  <si>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</si>
  <si>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</si>
  <si>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</si>
  <si>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</si>
  <si>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</si>
  <si>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</si>
  <si>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</si>
  <si>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</si>
  <si>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</si>
  <si>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</si>
  <si>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</si>
  <si>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</si>
  <si>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</si>
  <si>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</si>
  <si>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</si>
  <si>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</si>
  <si>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</si>
  <si>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</si>
  <si>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</si>
  <si>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</si>
  <si>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</si>
  <si>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</si>
  <si>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</si>
  <si>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</si>
  <si>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</si>
  <si>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</si>
  <si>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</si>
  <si>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</si>
  <si>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</si>
  <si>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</si>
  <si>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</si>
  <si>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</si>
  <si>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</si>
  <si>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</si>
  <si>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</si>
  <si>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</si>
  <si>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</si>
  <si>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</si>
  <si>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</si>
  <si>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</si>
  <si>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</si>
  <si>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</si>
  <si>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</si>
  <si>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</si>
  <si>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</si>
  <si>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</si>
  <si>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</si>
  <si>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</si>
  <si>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</si>
  <si>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</si>
  <si>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</si>
  <si>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</si>
  <si>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</si>
  <si>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</si>
  <si>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</si>
  <si>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</si>
  <si>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</si>
  <si>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</si>
  <si>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</si>
  <si>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</si>
  <si>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</si>
  <si>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</si>
  <si>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</si>
  <si>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</si>
  <si>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</si>
  <si>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</si>
  <si>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</si>
  <si>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</si>
  <si>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</si>
  <si>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</si>
  <si>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</si>
  <si>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</si>
  <si>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</si>
  <si>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</si>
  <si>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</si>
  <si>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</si>
  <si>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</si>
  <si>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</si>
  <si>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</si>
  <si>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</si>
  <si>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</si>
  <si>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</si>
  <si>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</si>
  <si>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</si>
  <si>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</si>
  <si>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</si>
  <si>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</si>
  <si>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</si>
  <si>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</si>
  <si>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</si>
  <si>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</si>
  <si>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</si>
  <si>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</si>
  <si>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</si>
  <si>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</si>
  <si>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</si>
  <si>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</si>
  <si>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</si>
  <si>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</si>
  <si>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</si>
  <si>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</si>
  <si>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</si>
  <si>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</si>
  <si>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</si>
  <si>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</si>
  <si>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</si>
  <si>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</si>
  <si>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</si>
  <si>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</si>
  <si>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</si>
  <si>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</si>
  <si>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</si>
  <si>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</si>
  <si>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</si>
  <si>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</si>
  <si>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</si>
  <si>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</si>
  <si>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</si>
  <si>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</si>
  <si>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</si>
  <si>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</si>
  <si>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</si>
  <si>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</si>
  <si>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</si>
  <si>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</si>
  <si>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</si>
  <si>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</si>
  <si>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</si>
  <si>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</si>
  <si>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</si>
  <si>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</si>
  <si>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</si>
  <si>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</si>
  <si>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</si>
  <si>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</si>
  <si>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</si>
  <si>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</si>
  <si>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</si>
  <si>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</si>
  <si>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</si>
  <si>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</si>
  <si>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</si>
  <si>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</si>
  <si>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</si>
  <si>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</si>
  <si>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</si>
  <si>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</si>
  <si>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</si>
  <si>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</si>
  <si>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</si>
  <si>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</si>
  <si>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</si>
  <si>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</si>
  <si>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</si>
  <si>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</si>
  <si>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</si>
  <si>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</si>
  <si>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</si>
  <si>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</si>
  <si>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</si>
  <si>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</si>
  <si>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</si>
  <si>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</si>
  <si>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</si>
  <si>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</si>
  <si>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</si>
  <si>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</si>
  <si>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</si>
  <si>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</si>
  <si>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</si>
  <si>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</si>
  <si>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</si>
  <si>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</si>
  <si>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</si>
  <si>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</si>
  <si>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</si>
  <si>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</si>
  <si>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</si>
  <si>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</si>
  <si>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</si>
  <si>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</si>
  <si>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</si>
  <si>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</si>
  <si>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</si>
  <si>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</si>
  <si>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</si>
  <si>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</si>
  <si>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</si>
  <si>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</si>
  <si>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</si>
  <si>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</si>
  <si>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</si>
  <si>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</si>
  <si>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</si>
  <si>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</si>
  <si>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</si>
  <si>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</si>
  <si>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</si>
  <si>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</si>
  <si>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</si>
  <si>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</si>
  <si>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</si>
  <si>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</si>
  <si>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</si>
  <si>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</si>
  <si>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</si>
  <si>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</si>
  <si>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</si>
  <si>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</si>
  <si>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</si>
  <si>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</si>
  <si>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</si>
  <si>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</si>
  <si>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</si>
  <si>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</si>
  <si>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</si>
  <si>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</si>
  <si>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</si>
  <si>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</si>
  <si>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</si>
  <si>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</si>
  <si>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</si>
  <si>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</si>
  <si>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</si>
  <si>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</si>
  <si>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</si>
  <si>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</si>
  <si>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</si>
  <si>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</si>
  <si>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</si>
  <si>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</si>
  <si>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</si>
  <si>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</si>
  <si>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</si>
  <si>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</si>
  <si>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</si>
  <si>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</si>
  <si>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</si>
  <si>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</si>
  <si>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</si>
  <si>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</si>
  <si>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</si>
  <si>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</si>
  <si>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</si>
  <si>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</si>
  <si>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</si>
  <si>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</si>
  <si>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</si>
  <si>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</si>
  <si>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</si>
  <si>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</si>
  <si>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</si>
  <si>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</si>
  <si>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</si>
  <si>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</si>
  <si>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</si>
  <si>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</si>
  <si>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</si>
  <si>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</si>
  <si>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</si>
  <si>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</si>
  <si>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</si>
  <si>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</si>
  <si>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</si>
  <si>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</si>
  <si>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</si>
  <si>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</si>
  <si>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</si>
  <si>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</si>
  <si>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</si>
  <si>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</si>
  <si>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</si>
  <si>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</si>
  <si>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</si>
  <si>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</si>
  <si>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</si>
  <si>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</si>
  <si>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</si>
  <si>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</si>
  <si>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</si>
  <si>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</si>
  <si>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</si>
  <si>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</si>
  <si>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</si>
  <si>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</si>
  <si>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</si>
  <si>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</si>
  <si>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</si>
  <si>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</si>
  <si>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</si>
  <si>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</si>
  <si>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</si>
  <si>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</si>
  <si>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</si>
  <si>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</si>
  <si>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</si>
  <si>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</si>
  <si>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</si>
  <si>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</si>
  <si>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</si>
  <si>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</si>
  <si>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</si>
  <si>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</si>
  <si>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</si>
  <si>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</si>
  <si>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</si>
  <si>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</si>
  <si>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</si>
  <si>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</si>
  <si>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</si>
  <si>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</si>
  <si>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</si>
  <si>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</si>
  <si>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</si>
  <si>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</si>
  <si>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</si>
  <si>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</si>
  <si>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</si>
  <si>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</si>
  <si>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</si>
  <si>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</si>
  <si>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</si>
  <si>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</si>
  <si>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</si>
  <si>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</si>
  <si>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</si>
  <si>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</si>
  <si>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</si>
  <si>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</si>
  <si>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</si>
  <si>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</si>
  <si>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</si>
  <si>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</si>
  <si>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</si>
  <si>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</si>
  <si>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</si>
  <si>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</si>
  <si>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</si>
  <si>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</si>
  <si>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</si>
  <si>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</si>
  <si>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</si>
  <si>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</si>
  <si>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</si>
  <si>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</si>
  <si>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</si>
  <si>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</si>
  <si>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</si>
  <si>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</si>
  <si>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</si>
  <si>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</si>
  <si>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</si>
  <si>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</si>
  <si>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</si>
  <si>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</si>
  <si>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</si>
  <si>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</si>
  <si>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</si>
  <si>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</si>
  <si>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</si>
  <si>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</si>
  <si>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</si>
  <si>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</si>
  <si>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</si>
  <si>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</si>
  <si>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</si>
  <si>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</si>
  <si>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</si>
  <si>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</si>
  <si>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</si>
  <si>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</si>
  <si>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</si>
  <si>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</si>
  <si>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</si>
  <si>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</si>
  <si>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</si>
  <si>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</si>
  <si>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</si>
  <si>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</si>
  <si>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</si>
  <si>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</si>
  <si>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</si>
  <si>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</si>
  <si>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</si>
  <si>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</si>
  <si>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</si>
  <si>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</si>
  <si>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</si>
  <si>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</si>
  <si>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</si>
  <si>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</si>
  <si>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</si>
  <si>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</si>
  <si>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</si>
  <si>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</si>
  <si>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</si>
  <si>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</si>
  <si>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</si>
  <si>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</si>
  <si>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</si>
  <si>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</si>
  <si>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</si>
  <si>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</si>
  <si>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</si>
  <si>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</si>
  <si>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</si>
  <si>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</si>
  <si>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</si>
  <si>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</si>
  <si>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</si>
  <si>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</si>
  <si>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</si>
  <si>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</si>
  <si>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</si>
  <si>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</si>
  <si>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</si>
  <si>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</si>
  <si>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</si>
  <si>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</si>
  <si>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</si>
  <si>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</si>
  <si>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</si>
  <si>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</si>
  <si>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</si>
  <si>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</si>
  <si>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</si>
  <si>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</si>
  <si>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</si>
  <si>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</si>
  <si>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</si>
  <si>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</si>
  <si>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</si>
  <si>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</si>
  <si>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</si>
  <si>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</si>
  <si>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</si>
  <si>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</si>
  <si>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</si>
  <si>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</si>
  <si>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</si>
  <si>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</si>
  <si>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</si>
  <si>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</si>
  <si>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</si>
  <si>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</si>
  <si>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</si>
  <si>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</si>
  <si>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</si>
  <si>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</si>
  <si>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</si>
  <si>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</si>
  <si>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</si>
  <si>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</si>
  <si>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</si>
  <si>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</si>
  <si>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</si>
  <si>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</si>
  <si>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</si>
  <si>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</si>
  <si>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</si>
  <si>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</si>
  <si>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</si>
  <si>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</si>
  <si>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</si>
  <si>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</si>
  <si>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</si>
  <si>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</si>
  <si>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</si>
  <si>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</si>
  <si>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</si>
  <si>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</si>
  <si>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</si>
  <si>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</si>
  <si>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</si>
  <si>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</si>
  <si>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</si>
  <si>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</si>
  <si>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</si>
  <si>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</si>
  <si>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</si>
  <si>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</si>
  <si>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</si>
  <si>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</si>
  <si>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</si>
  <si>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</si>
  <si>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</si>
  <si>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</si>
  <si>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</si>
  <si>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</si>
  <si>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</si>
  <si>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</si>
  <si>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</si>
  <si>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</si>
  <si>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</si>
  <si>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</si>
  <si>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</si>
  <si>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</si>
  <si>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</si>
  <si>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</si>
  <si>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</si>
  <si>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</si>
  <si>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</si>
  <si>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</si>
  <si>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</si>
  <si>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</si>
  <si>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</si>
  <si>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</si>
  <si>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</si>
  <si>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</si>
  <si>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</si>
  <si>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</si>
  <si>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</si>
  <si>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</si>
  <si>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</si>
  <si>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</si>
  <si>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</si>
  <si>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</si>
  <si>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</si>
  <si>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</si>
  <si>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</si>
  <si>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</si>
  <si>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</si>
  <si>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</si>
  <si>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</si>
  <si>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</si>
  <si>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</si>
  <si>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</si>
  <si>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</si>
  <si>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</si>
  <si>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</si>
  <si>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</si>
  <si>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</si>
  <si>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</si>
  <si>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</si>
  <si>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</si>
  <si>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</si>
  <si>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</si>
  <si>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</si>
  <si>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</si>
  <si>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</si>
  <si>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</si>
  <si>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</si>
  <si>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</si>
  <si>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</si>
  <si>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</si>
  <si>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</si>
  <si>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</si>
  <si>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</si>
  <si>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</si>
  <si>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</si>
  <si>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</si>
  <si>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</si>
  <si>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</si>
  <si>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</si>
  <si>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</si>
  <si>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</si>
  <si>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</si>
  <si>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</si>
  <si>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</si>
  <si>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</si>
  <si>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</si>
  <si>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</si>
  <si>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</si>
  <si>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</si>
  <si>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</si>
  <si>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</si>
  <si>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</si>
  <si>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</si>
  <si>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</si>
  <si>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</si>
  <si>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</si>
  <si>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</si>
  <si>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</si>
  <si>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</si>
  <si>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</si>
  <si>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</si>
  <si>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</si>
  <si>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</si>
  <si>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</si>
  <si>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</si>
  <si>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</si>
  <si>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</si>
  <si>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</si>
  <si>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</si>
  <si>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</si>
  <si>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</si>
  <si>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</si>
  <si>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</si>
  <si>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</si>
  <si>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</si>
  <si>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</si>
  <si>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</si>
  <si>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</si>
  <si>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</si>
  <si>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</si>
  <si>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</si>
  <si>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</si>
  <si>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</si>
  <si>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</si>
  <si>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</si>
  <si>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</si>
  <si>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</si>
  <si>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</si>
  <si>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</si>
  <si>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</si>
  <si>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</si>
  <si>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</si>
  <si>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</si>
  <si>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</si>
  <si>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</si>
  <si>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</si>
  <si>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</si>
  <si>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</si>
  <si>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</si>
  <si>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</si>
  <si>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</si>
  <si>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</si>
  <si>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</si>
  <si>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</si>
  <si>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</si>
  <si>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</si>
  <si>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</si>
  <si>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</si>
  <si>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</si>
  <si>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</si>
  <si>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</si>
  <si>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</si>
  <si>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</si>
  <si>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</si>
  <si>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</si>
  <si>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</si>
  <si>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</si>
  <si>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</si>
  <si>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</si>
  <si>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</si>
  <si>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</si>
  <si>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</si>
  <si>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</si>
  <si>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</si>
  <si>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</si>
  <si>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</si>
  <si>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</si>
  <si>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</si>
  <si>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</si>
  <si>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</si>
  <si>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</si>
  <si>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</si>
  <si>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</si>
  <si>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</si>
  <si>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</si>
  <si>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</si>
  <si>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</si>
  <si>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</si>
  <si>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</si>
  <si>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</si>
  <si>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</si>
  <si>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</si>
  <si>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</si>
  <si>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</si>
  <si>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</si>
  <si>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</si>
  <si>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</si>
  <si>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</si>
  <si>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</si>
  <si>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</si>
  <si>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</si>
  <si>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</si>
  <si>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</si>
  <si>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</si>
  <si>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</si>
  <si>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</si>
  <si>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</si>
  <si>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</si>
  <si>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</si>
  <si>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</si>
  <si>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</si>
  <si>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</si>
  <si>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</si>
  <si>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</si>
  <si>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</si>
  <si>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</si>
  <si>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</si>
  <si>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</si>
  <si>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</si>
  <si>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</si>
  <si>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</si>
  <si>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</si>
  <si>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</si>
  <si>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</si>
  <si>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</si>
  <si>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</si>
  <si>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</si>
  <si>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</si>
  <si>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</si>
  <si>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</si>
  <si>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</si>
  <si>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</si>
  <si>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</si>
  <si>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</si>
  <si>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</si>
  <si>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</si>
  <si>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</si>
  <si>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</si>
  <si>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</si>
  <si>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</si>
  <si>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</si>
  <si>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</si>
  <si>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</si>
  <si>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</si>
  <si>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</si>
  <si>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</si>
  <si>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</si>
  <si>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</si>
  <si>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</si>
  <si>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</si>
  <si>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</si>
  <si>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</si>
  <si>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</si>
  <si>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</si>
  <si>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</si>
  <si>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</si>
  <si>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</si>
  <si>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</si>
  <si>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</si>
  <si>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</si>
  <si>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</si>
  <si>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</si>
  <si>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</si>
  <si>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</si>
  <si>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</si>
  <si>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</si>
  <si>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</si>
  <si>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</si>
  <si>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</si>
  <si>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</si>
  <si>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</si>
  <si>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</si>
  <si>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</si>
  <si>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</si>
  <si>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</si>
  <si>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</si>
  <si>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</si>
  <si>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</si>
  <si>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</si>
  <si>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</si>
  <si>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</si>
  <si>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</si>
  <si>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</si>
  <si>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</si>
  <si>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</si>
  <si>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</si>
  <si>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</si>
  <si>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</si>
  <si>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</si>
  <si>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</si>
  <si>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</si>
  <si>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</si>
  <si>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</si>
  <si>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</si>
  <si>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</si>
  <si>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</si>
  <si>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</si>
  <si>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</si>
  <si>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</si>
  <si>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</si>
  <si>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</si>
  <si>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</si>
  <si>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</si>
  <si>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</si>
  <si>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</si>
  <si>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</si>
  <si>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</si>
  <si>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</si>
  <si>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</si>
  <si>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</si>
  <si>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</si>
  <si>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</si>
  <si>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</si>
  <si>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</si>
  <si>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</si>
  <si>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</si>
  <si>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</si>
  <si>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</si>
  <si>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</si>
  <si>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</si>
  <si>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</si>
  <si>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</si>
  <si>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</si>
  <si>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</si>
  <si>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</si>
  <si>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</si>
  <si>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</si>
  <si>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</si>
  <si>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</si>
  <si>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</si>
  <si>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</si>
  <si>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</si>
  <si>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</si>
  <si>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</si>
  <si>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</si>
  <si>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</si>
  <si>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</si>
  <si>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</si>
  <si>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</si>
  <si>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</si>
  <si>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</si>
  <si>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</si>
  <si>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</si>
  <si>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</si>
  <si>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</si>
  <si>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</si>
  <si>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</si>
  <si>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</si>
  <si>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</si>
  <si>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</si>
  <si>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</si>
  <si>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</si>
  <si>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</si>
  <si>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</si>
  <si>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</si>
  <si>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</si>
  <si>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</si>
  <si>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</si>
  <si>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</si>
  <si>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</si>
  <si>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</si>
  <si>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</si>
  <si>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</si>
  <si>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</si>
  <si>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</si>
  <si>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</si>
  <si>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</si>
  <si>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</si>
  <si>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</si>
  <si>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</si>
  <si>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</si>
  <si>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</si>
  <si>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</si>
  <si>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</si>
  <si>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</si>
  <si>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</si>
  <si>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</si>
  <si>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</si>
  <si>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</si>
  <si>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</si>
  <si>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</si>
  <si>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</si>
  <si>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</si>
  <si>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</si>
  <si>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</si>
  <si>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</si>
  <si>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</si>
  <si>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</si>
  <si>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</si>
  <si>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</si>
  <si>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</si>
  <si>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</si>
  <si>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</si>
  <si>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</si>
  <si>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</si>
  <si>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</si>
  <si>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</si>
  <si>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</si>
  <si>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</si>
  <si>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</si>
  <si>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</si>
  <si>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</si>
  <si>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</si>
  <si>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</si>
  <si>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</si>
  <si>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</si>
  <si>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</si>
  <si>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</si>
  <si>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</si>
  <si>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</si>
  <si>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</si>
  <si>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</si>
  <si>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</si>
  <si>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</si>
  <si>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</si>
  <si>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</si>
  <si>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</si>
  <si>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</si>
  <si>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</si>
  <si>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</si>
  <si>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</si>
  <si>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</si>
  <si>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</si>
  <si>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</si>
  <si>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</si>
  <si>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</si>
  <si>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</si>
  <si>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</si>
  <si>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</si>
  <si>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</si>
  <si>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</si>
  <si>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</si>
  <si>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</si>
  <si>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</si>
  <si>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</si>
  <si>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</si>
  <si>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</si>
  <si>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</si>
  <si>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</si>
  <si>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</si>
  <si>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</si>
  <si>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</si>
  <si>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</si>
  <si>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</si>
  <si>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</si>
  <si>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</si>
  <si>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</si>
  <si>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</si>
  <si>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</si>
  <si>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</si>
  <si>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</si>
  <si>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</si>
  <si>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</si>
  <si>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</si>
  <si>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</si>
  <si>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</si>
  <si>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</si>
  <si>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</si>
  <si>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</si>
  <si>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</si>
  <si>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</si>
  <si>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</si>
  <si>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</si>
  <si>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</si>
  <si>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</si>
  <si>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</si>
  <si>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</si>
  <si>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</si>
  <si>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</si>
  <si>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</si>
  <si>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</si>
  <si>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</si>
  <si>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</si>
  <si>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</si>
  <si>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</si>
  <si>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</si>
  <si>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</si>
  <si>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</si>
  <si>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</si>
  <si>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</si>
  <si>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</si>
  <si>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</si>
  <si>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</si>
  <si>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</si>
  <si>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</si>
  <si>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</si>
  <si>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</si>
  <si>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</si>
  <si>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</si>
  <si>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</si>
  <si>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</si>
  <si>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</si>
  <si>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</si>
  <si>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</si>
  <si>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</si>
  <si>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</si>
  <si>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</si>
  <si>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</si>
  <si>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</si>
  <si>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</si>
  <si>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</si>
  <si>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</si>
  <si>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</si>
  <si>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</si>
  <si>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</si>
  <si>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</si>
  <si>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</si>
  <si>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</si>
  <si>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</si>
  <si>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</si>
  <si>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</si>
  <si>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</si>
  <si>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</si>
  <si>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</si>
  <si>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</si>
  <si>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</si>
  <si>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</si>
  <si>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</si>
  <si>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</si>
  <si>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</si>
  <si>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</si>
  <si>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</si>
  <si>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</si>
  <si>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</si>
  <si>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</si>
  <si>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</si>
  <si>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</si>
  <si>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</si>
  <si>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</si>
  <si>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</si>
  <si>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</si>
  <si>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</si>
  <si>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</si>
  <si>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</si>
  <si>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</si>
  <si>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</si>
  <si>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</si>
  <si>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</si>
  <si>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</si>
  <si>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</si>
  <si>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</si>
  <si>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</si>
  <si>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</si>
  <si>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</si>
  <si>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</si>
  <si>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</si>
  <si>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</si>
  <si>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</si>
  <si>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</si>
  <si>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</si>
  <si>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</si>
  <si>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</si>
  <si>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</si>
  <si>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</si>
  <si>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</si>
  <si>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</si>
  <si>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</si>
  <si>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</si>
  <si>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</si>
  <si>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</si>
  <si>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</si>
  <si>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</si>
  <si>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</si>
  <si>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</si>
  <si>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</si>
  <si>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</si>
  <si>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</si>
  <si>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</si>
  <si>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</si>
  <si>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</si>
  <si>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</si>
  <si>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</si>
  <si>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</si>
  <si>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</si>
  <si>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</si>
  <si>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</si>
  <si>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</si>
  <si>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</si>
  <si>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</si>
  <si>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</si>
  <si>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</si>
  <si>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</si>
  <si>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</si>
  <si>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</si>
  <si>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</si>
  <si>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</si>
  <si>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</si>
  <si>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</si>
  <si>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</si>
  <si>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</si>
  <si>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</si>
  <si>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</si>
  <si>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</si>
  <si>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</si>
  <si>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</si>
  <si>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</si>
  <si>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</si>
  <si>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</si>
  <si>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</si>
  <si>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</si>
  <si>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</si>
  <si>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</si>
  <si>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</si>
  <si>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</si>
  <si>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</si>
  <si>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</si>
  <si>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</si>
  <si>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</si>
  <si>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</si>
  <si>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</si>
  <si>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</si>
  <si>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</si>
  <si>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</si>
  <si>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</si>
  <si>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</si>
  <si>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</si>
  <si>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</si>
  <si>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</si>
  <si>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</si>
  <si>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</si>
  <si>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</si>
  <si>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</si>
  <si>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</si>
  <si>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</si>
  <si>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</si>
  <si>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</si>
  <si>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</si>
  <si>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</si>
  <si>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</si>
  <si>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</si>
  <si>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</si>
  <si>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</si>
  <si>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</si>
  <si>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</si>
  <si>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</si>
  <si>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</si>
  <si>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</si>
  <si>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</si>
  <si>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</si>
  <si>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</si>
  <si>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</si>
  <si>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</si>
  <si>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</si>
  <si>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</si>
  <si>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</si>
  <si>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</si>
  <si>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</si>
  <si>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</si>
  <si>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</si>
  <si>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</si>
  <si>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</si>
  <si>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</si>
  <si>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</si>
  <si>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</si>
  <si>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</si>
  <si>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</si>
  <si>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</si>
  <si>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</si>
  <si>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</si>
  <si>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</si>
  <si>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</si>
  <si>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</si>
  <si>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</si>
  <si>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</si>
  <si>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</si>
  <si>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</si>
  <si>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</si>
  <si>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</si>
  <si>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</si>
  <si>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</si>
  <si>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</si>
  <si>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</si>
  <si>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</si>
  <si>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</si>
  <si>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</si>
  <si>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</si>
  <si>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</si>
  <si>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</si>
  <si>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</si>
  <si>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</si>
  <si>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</si>
  <si>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</si>
  <si>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</si>
  <si>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</si>
  <si>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</si>
  <si>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</si>
  <si>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</si>
  <si>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Okayama, Okayama</t>
  </si>
  <si>
    <t>Recyled/Scrap | Recycled, Scrap</t>
  </si>
  <si>
    <t>Due diligence results pending | Recyled/Scrap | Mineral sourcing R/S based on RMAP-RMI's RCOI data | Recycled/Scrap Only</t>
  </si>
  <si>
    <t>Compliant Conformant</t>
  </si>
  <si>
    <t>Kazuno, Akita</t>
  </si>
  <si>
    <t>Arezzo, Toscana</t>
  </si>
  <si>
    <t>RCOI confirmed as per RMI. | Not disclosed by supplier</t>
  </si>
  <si>
    <t>Italy, USA, China | RCOI confirmed as per RMI. | Mineral sourcing not disclosed per RJC</t>
  </si>
  <si>
    <t>Mejillones, Antofagasta</t>
  </si>
  <si>
    <t>RCOI confirmed as per RMI. | Excludes Covered Countries</t>
  </si>
  <si>
    <t>DRC or an adjoining country (Covered Countries), Argentina, USA, Japan, Zambia, Switzerland, Canada, China, Australia, Chile, Peru, Germany, Indonesia | RCOI confirmed as per RMI. | Mineral sourcing LR based on RMAP-RMI's RCOI data | Excludes Covered Countries | Excludes Covered Countries and CAHRA</t>
  </si>
  <si>
    <t>Gunsan-si, Jeollabuk-do</t>
  </si>
  <si>
    <t>Myanmar, Cambodia, Malaysia, Kazakhstan, Portugal, Mongolia, Austria, Luxembourg, Guyana, Republic Of Korea, Brazil, Chile, Laos, Colombia, Ecuador, Argentina, Hungary, Japan, India, Canada, Belgium, Namibia, China, Peru, Germany, Ethiopia, Russia, Singap | Recyled/Scrap | Mineral sourcing R/S based on RMAP-RMI's RCOI data | Recycled/Scrap Only</t>
  </si>
  <si>
    <t>Bangalore, Karnataka</t>
  </si>
  <si>
    <t>Some are recyled/scrap sourced but not all. | Recycled and scrap, and mines not disclosed by supplier</t>
  </si>
  <si>
    <t>Belgium, Canada, Philippines, Japan, China, Brazil, Malaysia, Bolivia, Peru, Germany, India, Recycled/Scrap | Some are recyled/scrap sourced but not all. | Mineral sourcing LR,R/S based on RMAP-RMI's RCOI data | Excludes Covered Countries | Excludes Covered Countries and CAHRA</t>
  </si>
  <si>
    <t>Johannesburg, Gauteng</t>
  </si>
  <si>
    <t>Recycled/Scrap, Republic Of Korea, South Africa | RCOI confirmed as per RMI. | Mineral sourcing not disclosed per RJC</t>
  </si>
  <si>
    <t>Vienna, Wien</t>
  </si>
  <si>
    <t>RCOI confirmed per RMI | RCOI confirmed as per RMI. | Not disclosed by supplier</t>
  </si>
  <si>
    <t>Austria, Indonesia, China, Japan, Recycled/Scrap, Peru, Colombia, Mongolia, Italy | RCOI confirmed per RMI | RCOI confirmed as per RMI. | Mineral sourcing not disclosed per RJC</t>
  </si>
  <si>
    <t>Pforzheim,Baden-Württemberg</t>
  </si>
  <si>
    <t>RCOI confirmed per RMI | RCOI confirmed as per RMI. | Recycled and scrap, and mines not disclosed by supplier</t>
  </si>
  <si>
    <t>Germany, Switzerland, Recycled/Scrap | RCOI confirmed per RMI | Excludes Covered Countries | RCOI confirmed as per RMI. | Mineral sourcing not disclosed per RJC</t>
  </si>
  <si>
    <t>Halsbruke, Sachsen</t>
  </si>
  <si>
    <t>Halsbruke</t>
  </si>
  <si>
    <t>Some are recycled/scrap sourced but not all. | Recycled and scrap, and mines not disclosed by supplier</t>
  </si>
  <si>
    <t>Myanmar, Cambodia, Malaysia, Kazakhstan, Portugal, Austria, Mongolia, Luxembourg, Brazil, Guyana, Republic Of Korea, Chile, Laos, Colombia, Ecuador, Argentina, Hungary, Japan, India, Canada, Belgium, Namibia, China, Peru, Ethiopia, Germany, Russia, Vietna | Some are recycled/scrap sourced but not all. | Mineral sourcing L1, R/S based on RMAP-RMI's RCOI data | Excludes Covered Countries | Excludes Covered Countries and CAHRA</t>
  </si>
  <si>
    <t>Italy, Recycled/Scrap, China, Philippines, Malaysia, Canada, Mongolia, Austria, Mozambique, Mexico, South Africa, USA, Australia, Germany | RCOI confirmed as per RMI. | LBMA Good Delivery Sourcing and RJC Sourcing based on RMAP-RMI's RCOI data</t>
  </si>
  <si>
    <t>Pero, Lombardia</t>
  </si>
  <si>
    <t>Due diligence results pending | RCOI confirmed as per RMI. | Mineral sourcing not disclosed per RJC</t>
  </si>
  <si>
    <t>Andorra</t>
  </si>
  <si>
    <t>Some are recycled/ scrap, high risk countries, covered countries sourced but not all | Some are recycled, scrap or covered countries sourced but not all</t>
  </si>
  <si>
    <t>China, Myanmar, Cambodia, Malaysia, Kazakhstan, Portugal, Austria, Mongolia, Luxembourg, Guyana, Brazil, Republic Of Korea, Chile, Laos, Colombia, Ecuador, Argentina, Hungary, Japan, India, Canada, Belgium, Namibia, Peru, Germany, Ethiopia, Russia, Singap | Tanzania | Covered Country Sourcing | Some are recycled/ scrap, high risk countries, covered countries sourced but not all | Mineral sourcing from Tanzania | Includes Covered Countries | Includes Covered Countries and CAHRA</t>
  </si>
  <si>
    <t>Paris, Île-de-France</t>
  </si>
  <si>
    <t>Canada, China, Japan, Bolivia, USA, France, Recycled/Scrap, Russia | RCOI confirmed as per RMI. | Mineral sourcing not disclosed per RJC</t>
  </si>
  <si>
    <t>Astana, Almaty</t>
  </si>
  <si>
    <t>Austria, Kazakhstan | RCOI confirmed as per RMI. | LBMA Good Delivery Sourcing based on RMAP-RMI's RCOI data</t>
  </si>
  <si>
    <t>Sao Paulo,São Paulo</t>
  </si>
  <si>
    <t>Brazil, China, Japan, Myanmar, Cambodia, Malaysia, Kazakhstan, Portugal, Mongolia, Austria, Luxembourg, Guyana, Republic Of Korea, Chile, Laos, Colombia, Ecuador, Argentina, Hungary, India, Canada, Belgium, Namibia, Peru, Germany, Ethiopia, Russia, Singap | Some are recyled/scrap sourced but not all. | Mineral sourcing LR,R/S based on RMAP-RMI's RCOI data</t>
  </si>
  <si>
    <t>Gangnam, Seoul-teukbyeolsi</t>
  </si>
  <si>
    <t>Japan, Australia, Republic Of Korea | RCOI confirmed as per RMI. | Mineral sourcing L1 based on RMAP-RMI's RCOI data | Excludes Covered Countries | Excludes Covered Countries and CAHRA</t>
  </si>
  <si>
    <t>Moerdijk, Noord-Brabant</t>
  </si>
  <si>
    <t>Netherlands, China, Philippines, Thailand, Canada, Japan, Bolivia, Recycled/Scrap, Russia | Recyled/Scrap | Mineral sourcing R/S based on RMAP-RMI's RCOI data | Excludes Covered Countries</t>
  </si>
  <si>
    <t>Capolona, Toscana</t>
  </si>
  <si>
    <t>Italy, Recycled/Scrap, China, Japan | RCOI confirmed as per RMI. | LBMA Good Delivery Sourcing based on RMAP-RMI's RCOI data</t>
  </si>
  <si>
    <t>Dubai, Dubayy</t>
  </si>
  <si>
    <t>Some are recycled/scrap, covered countries sourced but not all. | Some are recycled, scrap or covered countries sourced but not all</t>
  </si>
  <si>
    <t>United Arab Emirates, China, DRC or an adjoining country (Covered Countries), Recycled/Scrap | Tanzania | Some are recycled/scrap, covered countries sourced but not all. | Mineral sourcing from Tanzania | Includes Covered Countries</t>
  </si>
  <si>
    <t>Some are recycled/scrap, and high risk sourced but not all. | Recycled and scrap, and mines not disclosed by supplier</t>
  </si>
  <si>
    <t>Recycled/Scrap, Myanmar, Cambodia, Malaysia, Kazakhstan, Portugal, Austria, Mongolia, Luxembourg, Republic Of Korea, Guyana, Brazil, Chile, Laos, Ecuador, Colombia, Argentina, Hungary, Japan, India, Canada, Belgium, Namibia, China, Peru, Germany, Ethiopia | Some are recycled/scrap, and high risk sourced but not all. | Mineral sourcing HR, R/S based on RMAP-RMI's RCOI data | Includes Covered Countries | Includes CAHRA</t>
  </si>
  <si>
    <t>Dayuan, Taoyuan</t>
  </si>
  <si>
    <t>Myanmar, Cambodia, Malaysia, Kazakhstan, Portugal, Mongolia, Austria, Luxembourg, Guyana, Republic Of Korea, Brazil, Chile, Laos, Ecuador, Colombia, Argentina, Hungary, Japan, India, Canada, Belgium, Namibia, China, Peru, Germany, Ethiopia, Russia, Singap | Some are recycled/scrap sourced but not all. | Mineral sourcing L1, R/S based on RMAP-RMI's RCOI data | Excludes Covered Countries | Excludes Covered Countries and CAHRA</t>
  </si>
  <si>
    <t>Lubin, Dolnośląskie</t>
  </si>
  <si>
    <t>Chile, Poland, Thailand, Indonesia, Poland, Myanmar, Cambodia, Malaysia, Kazakhstan, Portugal, Mongolia, Austria, Luxembourg, Guyana, Brazil, Republic Of Korea, Laos, Ecuador, Colombia, Argentina, Hungary, Japan, India, Canada, Belgium, Namibia, China, Pe | RCOI confirmed as per RMI. | LBMA Good Delivery Sourcing based on RMAP-RMI's RCOI data</t>
  </si>
  <si>
    <t>Mewat, Haryana</t>
  </si>
  <si>
    <t>USA, India, Australia, Brazil, Zambia, Kenya, Zimbabwe, DRC or an adjoining country (Covered Countries), China, Japan, Recycled/Scrap, Zimbabwe Russia | RCOI confirmed as per RMI. | LBMA Good Delivery Sourcing based on RMAP-RMI's RCOI data</t>
  </si>
  <si>
    <t>Warwick, Rhode Island</t>
  </si>
  <si>
    <t>USA, Recycled/Scrap, Indonesia, China, Switzerland | Recyled/Scrap | Mineral sourcing R/S based on RMAP-RMI's RCOI data | Recycled/Scrap Only</t>
  </si>
  <si>
    <t>Khwaeng Dok Mai, Krung Thep Maha Nakhon</t>
  </si>
  <si>
    <t>0 | RCOI confirmed as per RMI. | Not disclosed by supplier</t>
  </si>
  <si>
    <t>USA, China, Thailand, Peru, Belgium, Indonesia, Recycled/Scrap, Brazil | Not disclosed per RJC | RCOI confirmed as per RMI. | Mineral sourcing not disclosed per RJC</t>
  </si>
  <si>
    <t>Safina a.s.</t>
  </si>
  <si>
    <t>Vestec, Praha-západ</t>
  </si>
  <si>
    <t>Czech Republic, Recycled/Scrap, Bolivia | Recyled/Scrap | Mineral sourcing R/S based on RMAP-RMI's RCOI data | Excludes Covered Countries</t>
  </si>
  <si>
    <t>Shanghang, Fujian Sheng</t>
  </si>
  <si>
    <t>广东河源紫金县瓷土矿井 | RCOI confirmed as per RMI. | Not disclosed by supplier</t>
  </si>
  <si>
    <t>Russia, Papua New Guinea, Japan, Malaysia, Bolivia, Canada, Mongolia, Mozambique, China, Brazil, Poland, Australia, Peru, Kyrgyzstan, Indonesia, Recycled/Scrap, Uzbekistan, DRC or an adjoining country (Covered Countries) | China | RCOI confirmed as per RMI. | LBMA Good Delivery Sourcing based on RMAP-RMI's RCOI data</t>
  </si>
  <si>
    <t>Sanmenxia, Henan Sheng</t>
  </si>
  <si>
    <t>Qin Ling  Gold  Mine | RCOI confirmed as per RMI. | Not disclosed by supplier</t>
  </si>
  <si>
    <t>China, Recycled/Scrap, Canada, Mongolia, Mozambique, Philippines, Australia, Thailand, Switzerland, Laos, Germany, Ethiopia, Japan, Indonesia, Russia | Excludes Covered Countries | China | RCOI confirmed as per RMI. | LBMA Good Delivery Sourcing based on RMAP-RMI's RCOI data</t>
  </si>
  <si>
    <t>Sagamihara, Kanagawa</t>
  </si>
  <si>
    <t>0 | Recycled | Recyled/Scrap | Recycled, Scrap</t>
  </si>
  <si>
    <t>Japan, Recycled/Scrap, Brazil, China, Malaysia, Spain, Canada | 0 | Recycled | Recyled/Scrap | Mineral sourcing R/S based on RMAP-RMI's RCOI data | Recycled/Scrap Only</t>
  </si>
  <si>
    <t>Konan, Kochi</t>
  </si>
  <si>
    <t>Recycled, Scrap | Some are recycled/scrap sourced but not all. | Recycled and scrap, and mines not disclosed by supplier</t>
  </si>
  <si>
    <t>Canada, Mozambique, USA, China, Japan, Brazil, Australia, Japan, Australia, Germany, Recycled/Scrap, DRC or an adjoining country (Covered Countries), Russia, Mexico, Switzerland, Indonesia | Recycled, Scrap | Some are recycled/scrap sourced but not all. | Mineral sourcing L1, R/S based on RMAP-RMI's RCOI data | Excludes Covered Countries | Excludes Covered Countries and CAHRA</t>
  </si>
  <si>
    <t>Newburn, Western Australia</t>
  </si>
  <si>
    <t>Boddington Gold Mine | Perth Mint | Refining etc.; The Perth Mint; The Bronzewing Gold Mine/Perth Mint; Perth Mint; Recycled and from the Bronzewing Gold Mine | Recycled | RCOI confirmed per RMI | Not disclosed | a. Cloverdale, Western Australia, Australia | RCOI confirmed as per RMI. | From Boddington Gold Mine and Bronzewing Gold Mine</t>
  </si>
  <si>
    <t>Australia | AUSTRALIA; UNKNOWN | Papua New Guinea, China, Republic Of Korea, Australia, Chile, Bolivia, Peru, Recycled/Scrap, Australia | Recycled etc. | RCOI confirmed per RMI | Not disclosed | AUSTRALIA | Excludes Covered Countries | a. Cloverdale, Western Australia, Australia | RCOI confirmed as per RMI. | From Australia</t>
  </si>
  <si>
    <t>Balerna, Ticino</t>
  </si>
  <si>
    <t>Some are recycled, scrap or covered countries sourced but not all. | Valcambi SA | RCOI confirmed per RMI | NA | Recycled/Scrap;Japan | RCOI confirmed as per RMI. | Not disclosed by supplier</t>
  </si>
  <si>
    <t>Some are recycled, scrap or covered countries sourced but not all. | SWITZERLAND; UNKNOWN | China, Japan, Australia, Switzerland, Germany, Recycled/Scrap, USA | RCOI confirmed per RMI | Excludes Covered Countries | NA | Recycled/Scrap;Japan | RCOI confirmed as per RMI. | Mineral sourcing not disclosed per LBMA RG / RJC</t>
  </si>
  <si>
    <t>Alden, New York</t>
  </si>
  <si>
    <t>Some are recycled or scrap sourced but not all. | NA | Recycled | RCOI confirmed per RMI | Recycled scrap material | Recyled scrap material | Some are recyled/scrap sourced but not all. | Recycled and scrap, and mines not disclosed by supplier</t>
  </si>
  <si>
    <t>Some are recycled or scrap sourced but not all. | NA | Canada, Russia, Belgium, USA, Japan, China, Thailand, Bolivia, Australia, Switzerland, Peru, Indonesia, Recycled/Scrap | Recycled etc. | RCOI confirmed per RMI | Recycled scrap material | Excludes Covered Countries | Some are recyled/scrap sourced but not all. | Mineral sourcing LR,R/S based on RMAP-RMI's RCOI data | Excludes Covered Countries and CAHRA</t>
  </si>
  <si>
    <t>Hoboken, Antwerpen</t>
  </si>
  <si>
    <t>Some are recycled or scrap sourced but not all. | Recycled | recycled | RCOI confirmed per RMI | scrap and recycling | RCOI confirmed as per RMI. | Not disclosed by supplier</t>
  </si>
  <si>
    <t>Some are recycled or scrap sourced but not all. | BELGIUM; UNKNOWN | Canada, China, Japan, Bolivia, Belgium, Recycled/Scrap | recycled | RCOI confirmed per RMI | Excludes Covered Countries | scrap and recycling | RCOI confirmed as per RMI. | LBMA Good Delivery Sourcing and RJC Sourcing not disclosed, Scrap &amp; Recycled</t>
  </si>
  <si>
    <t>Asan, Chungcheongnam-do</t>
  </si>
  <si>
    <t>Some are recycled or scrap sourced but not all. | Partially scrap | Recycled | Recyled/Scrap | Recycled, Scrap</t>
  </si>
  <si>
    <t>Some are recycled or scrap sourced but not all. | Russia, China, Republic Of Korea, Brazil, Mexico, Chile, Bolivia, Indonesia, Recycled/Scrap, Switzerland | Partially scrap | Recycled | Korea | Recyled/Scrap | Mineral sourcing R/S based on RMAP-RMI's RCOI data | Recycled/Scrap Only</t>
  </si>
  <si>
    <t>Kuki, Saitama</t>
  </si>
  <si>
    <t>recycled | Recycled or scrap | Recycled | RCOI confirmed per RMI | Not disclosed | Johnson Matthey Inc/ Sumitomo Metal Mining Co., Ltd./ Cadia Hill/ Xstrata Canada Corporation / Heraeus Ltd Hong Kong |recycled | RCOI confirmed as per RMI. | Recycled and mines, not disclosed by supplier</t>
  </si>
  <si>
    <t>recycled | Recycled/Scrap, Canada, China, USA, Japan, Australia, Chile, Peru, Indonesia | Recycled or scrap | Recycled | RCOI confirmed per RMI | Not disclosed | Excludes Covered Countries | UNITED STATES/ Hishikari Mine/Australia/ Canada/ HONG KONG |recycled | RCOI confirmed as per RMI. | Mineral sourcing R/S and Mines not disclosed per LBMA</t>
  </si>
  <si>
    <t>Shandong gold smelting Co., Ltd.</t>
  </si>
  <si>
    <t>Laizhou, Shandong Sheng</t>
  </si>
  <si>
    <t>Some are recycled, scrap or covered countries sourced but not all. | Heraeus (Zhaoyuan) Precious Metal Materials Co.,Ltd.; Pangkal Pinang, Bangka Island Indonesia; Not disclosed by supplier; Three mountain island gold mining area; Heraeus(Zhaoyuan)Presious Metal Co,Ltd; Shandong; Not disclosed per LBMA; The Refinery of Sha | RCOI confirmed per RMI | Pangkal Pinang, Bangka Island Indonesia | RCOI confirmed as per RMI. | Not disclosed by supplier</t>
  </si>
  <si>
    <t>Some are recycled, scrap or covered countries sourced but not all. | INDONESIA; CHINA; UNKNOWN | China, Peru, Indonesia, Recycled/Scrap, Japan, Australia, USA | China | RCOI confirmed per RMI | Excludes Covered Countries | Indonesia | RCOI confirmed as per RMI. | From China</t>
  </si>
  <si>
    <t>Chengdu, Sichuan Sheng</t>
  </si>
  <si>
    <t>Hiratsuka, Kanagawa</t>
  </si>
  <si>
    <t>recycled | Not disclosed per LBMA | RCOI confirmed as per RMI | Gold (Au) | Recycled | RCOI confirmed per RMI | Not disclosed, Recycled | From London Bullion Market Association (LBMA) (list in CFS) | Tanaka purchased gold metal with ONLY the good
delivery brand, which London Bullion Market Association
(LBMA) approved as, from our supplier | Recycle ,
a. Hiratsuka, Kanagawa, Japan | RCOI confirmed as per RMI. | Recycled grain gold refined by Tanaka Kikinzoku Kogyo K.K</t>
  </si>
  <si>
    <t>recycled | Not disclosed per LBMA | RCOI confirmed as per RMI | JAPAN; UNKNOWN | Japan, Recycled/Scrap, Singapore, China, USA, Uzbekistan, United Kingdom, Malaysia, Bolivia, Switzerland, Canada, Belgium, Mexico, South Africa, Chile, Australia, Indonesia, Brazil | Recycled etc. | Recycled | RCOI confirmed per RMI | Not disclosed, Scrap &amp; Recycled. | Recycled/Scrap Only | From London Bullion Market Association (LBMA) (list in CFS) | Tanaka purchased gold metal with ONLY the good
delivery brand, which London Bullion Market Association
(LBMA) approved as, from our supplier | Recycle ,
a. Hiratsuka, Kanagawa, Japan | RCOI confirmed as per RMI. | LBMA Good Delivery Sourcing based on RMAP-RMI's RCOI data</t>
  </si>
  <si>
    <t>Saijo, Ehime</t>
  </si>
  <si>
    <t>recycled | Not disclosed per LBMA | Hishikari Mine | Because it is a Conformant Gold Refiner, is no problem. | Hishikari Mine; Shizhuyuan Mine | NA | Hishikari | Recycled | RCOI confirmed per RMI | Not disclosed | 0 | Pogo Mine
Morenci Mine
Candelaria Mine
Cerro Verde Mine
Ojos del Salado Copper Mine
Batu Hijau Mine
Northparkes Mine
Hishikari Mine | Recycled,
a. Saijyo, Ehime, Japan | RCOI confirmed as per RMI. | Recycled and Scrap and mines from Morenci, Cerro Verde, Sierra Gorda, Candelaria, Ojos del Salado, Hishikari</t>
  </si>
  <si>
    <t>recycled | Not disclosed per LBMA | Japan
recycled | recycled
Japan | Because it is a Conformant Gold Refiner, is no problem. | CHINA; JAPAN; UNKNOWN | NA | Japan | Japan, Australia, Recycled/Scrap, USA, Chile | Recycled | United States
Chile
Peru
Indonesia
Australia
Japan | RCOI confirmed per RMI | Not disclosed | 0 | United States
United States
Chile
Peru
Chile
Indonesia
Australia
Japan | Recycled,
a. Saijyo, Ehime, Japan | RCOI confirmed as per RMI. | From United States, Peru, Chile, Japan</t>
  </si>
  <si>
    <t>Tainan City, Tainan</t>
  </si>
  <si>
    <t>recycled | Some are recycled, scrap, covered countries or DRC sourced but not all. | a. Tainan City, Taiwan | NA | Recycled | RCOI confirmed per RMI | Recycled &amp; Scrap | RCOI confirmed as per RMI.</t>
  </si>
  <si>
    <t>recycled | Some are recycled, scrap, covered countries or DRC sourced but not all. | TAIWAN; UNKNOWN | NA | Recycled/Scrap, China, Myanmar, Cambodia, Malaysia, Kazakhstan, Portugal, Austria, Mongolia, Luxembourg, Brazil, Republic Of Korea, Guyana, Chile, Laos, Colombia, Ecuador, Argentina, Hungary, Japan, India, Canada, Belgium, Namibia, Peru, Germany, Ethiopia | Recycled etc. | RCOI confirmed per RMI | Taiwan, HK | Excludes Covered Countries | Recycled, Taiwan, HK. | RCOI confirmed as per RMI. | Mineral sourcing R/S</t>
  </si>
  <si>
    <t>Shyolkovo, Moskovskaja oblast'</t>
  </si>
  <si>
    <t>Some are recycled or scrap sourced but not all. | 0 | RCOI confirmed as per RMI. | Not disclosed by supplier</t>
  </si>
  <si>
    <t>Some are recycled or scrap sourced but not all. | Russia, China, Germany, Indonesia, USA, Recycled/Scrap | 0 | RCOI confirmed as per RMI. | LBMA Good Delivery Sourcing based on RMAP-RMI's RCOI data</t>
  </si>
  <si>
    <t>China, Recycled/Scrap | RCOI confirmed as per RMI. | LBMA Good Delivery Sourcing based on RMAP-RMI's RCOI data</t>
  </si>
  <si>
    <t>Zhaoyuan, Shandong Sheng</t>
  </si>
  <si>
    <t>Not disclosed per LBMA | no; Jinchiling Gold Mine; Jin Chi Ling Gold Mine; Not disclosed; Dayigezhuang Gold Mine, Jinchiling Gold Mine, Xiadian Gold Mine, Hedong Gold Mine, Jintingling Gold Mine and Chanzhuang;From Jinchiling  Gold Mine,Kantfort,Roshan gold,Zhaoyuan gold wing rid | Jinchiling Gold Mine | RCOI confirmed per RMI | China | Shandong Zhaojin Gold &amp; Silver Refinery Co., Ltd. | recycled or scrap | No recycled | 山东招金金银精炼有限公司 | RCOI confirmed as per RMI. | From Jinchiling Gold Mine</t>
  </si>
  <si>
    <t>Not disclosed per LBMA | China | CHINA; UNKNOWN | USA, China, Japan, Recycled/Scrap | RCOI confirmed per RMI | recycled or scrap | No recycled | Excludes Covered Countries | CHINA | RCOI confirmed as per RMI. | From China</t>
  </si>
  <si>
    <t>Madrid, Madrid, Comunidad de</t>
  </si>
  <si>
    <t>RCOI confirmed per RMI | Scrap or Recycled | RCOI confirmed as per RMI. | Recycled and Scrap</t>
  </si>
  <si>
    <t>Myanmar, Cambodia, Malaysia, Kazakhstan, Portugal, Austria, Mongolia, Luxembourg, Guyana, Republic Of Korea, Brazil, Chile, Laos, Ecuador, Colombia, Argentina, Hungary, Japan, India, Canada, Belgium, Namibia, China, Peru, Germany, Ethiopia, Russia, Singap | RCOI confirmed per RMI | Excludes Covered Countries | Scrap or Recycled | RCOI confirmed as per RMI. | Mineral sourcing R/S</t>
  </si>
  <si>
    <t>Namdong, Incheon-gwangyeoksi</t>
  </si>
  <si>
    <t>Some are recycled or scrap sourced but not all. | Recyled/Scrap | Recycled, Scrap</t>
  </si>
  <si>
    <t>Some are recycled or scrap sourced but not all. | Republic Of Korea, Recycled/Scrap, USA, Japan, Rwanda, Sierra Leone, Bolivia, Thailand, India, Canada, Mozambique, Namibia, China, Brazil, Zimbabwe, Australia, Germany, Ethiopia, Indonesia | Recyled/Scrap | Mineral sourcing R/S based on RMAP-RMI's RCOI data | Recycled/Scrap Only</t>
  </si>
  <si>
    <t>Ottawa, Ontario</t>
  </si>
  <si>
    <t>TMAC Resources' mine, Meadowbank mine; Recycled; unknown | RCOI confirmed per RMI | Not disclosed | NA | Xstrade Canada Corporation | RCOI confirmed as per RMI. | Recycled sources and mines not disclosed by supplier</t>
  </si>
  <si>
    <t>CANADA; UNKNOWN | Canada, Recycled/Scrap, Suriname, Guyana, Switzerland, Chile, Germany, Peru, USA, Mexico, Japan, China | RCOI confirmed per RMI | Not disclosed | CANADA | Includes Covered Countries | Canada | RCOI confirmed as per RMI. | Mineral sourcing not disclosed per LBMA RG</t>
  </si>
  <si>
    <t>Germiston, Gauteng</t>
  </si>
  <si>
    <t>Rand Refinery (Pty) Ltd; Rand Refinery (Pty) Ltd;M | Recycled | Rand Refinery (Pty) Ltd | RCOI confirmed as per RMI. | Not disclosed by supplier</t>
  </si>
  <si>
    <t>SOUTH AFRICA; UNKNOWN | DRC or an adjoining country (Covered Countries), Papua New Guinea, China, Philippines, Tanzania, Ghana, Malaysia, Switzerland, Canada, Austria, Mozambique, Mali, Namibia, South Africa, USA, Australia, Germany, Belgium, Brazil, Recycled/Scrap | Includes Covered Countries | Recycled | SOUTH AFRICA | RCOI confirmed as per RMI. | LBMA Good Delivery Sourcing based on RMAP-RMI's RCOI data</t>
  </si>
  <si>
    <t>La Chaux-de-Fonds, Neuchâtel</t>
  </si>
  <si>
    <t>Canada, Mozambique, Australia, Switzerland, Peru, Recycled/Scrap, Brazil, Ethiopia, China, Russia, Indonesia | RCOI confirmed as per RMI. | LBMA Good Delivery Sourcing based on RMAP-RMI's RCOI data</t>
  </si>
  <si>
    <t>Jakarta, Jakarta Raya</t>
  </si>
  <si>
    <t>Some are recycled, scrap or covered countries sourced but not all. | 0 | Paracas, Ica, Perú | RCOI confirmed as per RMI. | Not disclosed by supplier</t>
  </si>
  <si>
    <t>Some are recycled, scrap or covered countries sourced but not all. | Canada, Brazil, Malaysia, Australia, Bolivia, Chile, Switzerland, Peru, Ethiopia, Germany, Indonesia, Recycled/Scrap, China, Russia, South Africa, USA | 0 | Paracas, Ica, Perú | RCOI confirmed as per RMI. | LBMA Good Delivery Sourcing based on RMAP-RMI's RCOI data</t>
  </si>
  <si>
    <t>Kasimov, Ryazanskaya oblast'</t>
  </si>
  <si>
    <t>Some are recycled or scrap sourced but not all. | Russia, Japan, Rwanda, Sierra Leone, Bolivia, India, Canada, Mozambique, Namibia, China, Brazil, Zimbabwe, Australia, Ethiopia, Germany, Indonesia, Recycled/Scrap | 0 | RCOI confirmed as per RMI. | LBMA Good Delivery Sourcing based on RMAP-RMI's RCOI data</t>
  </si>
  <si>
    <t>Castel San Pietro, Ticino</t>
  </si>
  <si>
    <t>recycled | Some are recycled, scrap, covered countries or DRC sourced but not all. | PAMP SA | RCOI confirmed per RMI | RCOI confirmed as per RMI. | Recycled sources and mines not disclosed by supplier</t>
  </si>
  <si>
    <t>recycled | Some are recycled, scrap, covered countries or DRC sourced but not all. | UNKNOWN; SWITZERLAND | Brazil, Canada, China, USA, Japan, Mexico, South Africa, United Kingdom, Australia, Switzerland, Indonesia, DRC or an adjoining country (Covered Countries), Recycled/Scrap, Dominican Republic, Ecuador, Ghana, Guinea, Liberia, Malaysia, Mauritania, Peru, A | RCOI confirmed per RMI | Includes Covered Countries | RCOI confirmed as per RMI. | Mineral sourcing R/S and Mines not disclosed per LBMA</t>
  </si>
  <si>
    <t>Krasnoyarsk, Krasnoyarskiy kray</t>
  </si>
  <si>
    <t>Brazil, Indonesia, Russia, Recycled/Scrap, Germany, Japan | 0 | RCOI confirmed as per RMI. | LBMA Good Delivery Sourcing based on RMAP-RMI's RCOI data</t>
  </si>
  <si>
    <t>Nara-shi, Nara</t>
  </si>
  <si>
    <t>Some are recycled, scrap, covered countries or DRC sourced but not all. | Recycled, Scrap | Recyled/Scrap</t>
  </si>
  <si>
    <t>Some are recycled, scrap, covered countries or DRC sourced but not all. | Recycled/Scrap, Myanmar, Cambodia, Malaysia, Kazakhstan, Portugal, Austria, Mongolia, Luxembourg, Republic Of Korea, Guyana, Brazil, Chile, Laos, Colombia, Ecuador, Argentina, Hungary, Japan, India, Canada, Belgium, Namibia, China, South Africa, Peru, Ger | R/S | Includes Covered Countries | Recyled/Scrap | Mineral sourcing R/S based on RMAP-RMI's RCOI data</t>
  </si>
  <si>
    <t>Noda, Chiba</t>
  </si>
  <si>
    <t>recycled | Recycled | Hishikari Mine | Some are recycled or scrap sourced but not all. | Recycled or scrap | RCOI confirmed per RMI | Not disclosed, Scrap &amp; recycled. | Recycled,
a. Noda, Chiba, Japan | RCOI confirmed as per RMI. | Recycled and scrap</t>
  </si>
  <si>
    <t>recycled | Recycled | Japan | Some are recycled or scrap sourced but not all. | Japan, Recycled/Scrap, China, DRC or an adjoining country (Covered Countries), Niger, Rwanda, Malaysia, Bolivia, Thailand, Switzerland, Portugal, Spain, Canada, Mozambique, Brazil, Australia, Chile, Nigeria, Peru, Indonesia | Recycled or scrap | RCOI confirmed per RMI | Not disclosed. | Includes Covered Countries | Recycled,
a. Noda, Chiba, Japan | RCOI confirmed as per RMI. | Mineral sourcing R/S</t>
  </si>
  <si>
    <t>Navoi, Navoiy</t>
  </si>
  <si>
    <t>Recycled/Scrap, USA, China, Uzbekistan, Indonesia | RCOI confirmed as per RMI. | LBMA Good Delivery Sourcing based on RMAP-RMI's RCOI data</t>
  </si>
  <si>
    <t>Bahçelievler, İstanbul</t>
  </si>
  <si>
    <t>NA | RCOI confirmed as per RMI. | Not disclosed by supplier</t>
  </si>
  <si>
    <t>Saudi Arabia, Turkey, United Arab Emirates, China, Recycled/Scrap, Kazakhstan, Japan, Russia | NA | scrap | RCOI confirmed as per RMI. | LBMA Good Delivery Sourcing based on RMAP-RMI's RCOI data</t>
  </si>
  <si>
    <t>Obrucheva, Moskva</t>
  </si>
  <si>
    <t>Russia, China, Bolivia, Recycled/Scrap, Chile, Australia, Canada, Japan, Peru, Chile, Indonesia, New Zealand, Saudi Arabia, Turkey, United Arab Emirates, USA, Uzbekistan | 0 | RCOI confirmed as per RMI. | LBMA Good Delivery Sourcing based on RMAP-RMI's RCOI data</t>
  </si>
  <si>
    <t>Takehara, Hiroshima</t>
  </si>
  <si>
    <t>recycled | Cadia Hill | Because it is a Conformant Gold Refiner, is no problem. | NA | Recycled or scrap | Recycled | RCOI confirmed per RMI | Los Pelambres Mine
Collahuasi Mine
Escondida Mine
Cadia Hill &amp; Ridgeway Mines | Johnson Matthey Inc/ Sumitomo Metal Mining Co., Ltd./ Cadia Hill/ Xstrata Canada Corporation/ Heraeus Ltd Hong Kong|Recycled|(include recycled)|Scrap | RCOI confirmed as per RMI. | From Collahuasi, Los Pelambres, Escondida, Collahuasi</t>
  </si>
  <si>
    <t>recycled | Australia
recycled | Because it is a Conformant Gold Refiner, is no problem. | JAPAN; UNKNOWN | NA | Recycled/Scrap, Japan, Australia, Canada | Recycled or scrap | Recycled | Chile
Australia | Australia | RCOI confirmed per RMI | Not disclosed. | Includes Covered Countries | Chile
Chile
Chile
Australia | UNITED STATES/ Hishikari Mine/ Australia/ Canada/ HONG KONG|Japan|(include recycled)|Scrap | RCOI confirmed as per RMI. | From Chile and Australia</t>
  </si>
  <si>
    <t>Tokyo, Tokyo</t>
  </si>
  <si>
    <t>recycled | Not disclosed per LBMA | Huckleberry | Cadia Hill | Because it is a Conformant Gold Refiner, is no problem. | Huckleberry Mine Copper Mountain Mine Escondida Mine Los Pelambres Mine Batu Hijau Mine; recycled | NA | scrap | Recycled | RCOI confirmed per RMI | Huckleberry. Recycled. | Huckleberry Mine
Copper Mountain Mine
Escondida Mine
Los Pelambres Mine
Batu Hijau Mine | RCOI confirmed as per RMI. | Mining, recycled and scrap sources, from Copper Mountain, Escondida, Los Pelambres</t>
  </si>
  <si>
    <t>recycled | Not disclosed per LBMA | Canada
recycled | Australia | Because it is a Conformant Gold Refiner, is no problem. | CANADA; JAPAN; UNKNOWN | NA | scrap | Australia, Peru, Russia, United Kingdom, Japan, Canada, Recycled/Scrap, Mexico, China, Papua New Guinea, Indonesia, Mongolia, Austria, Mozambique, DRC or an adjoining country (Covered Countries), Chile | Recycled | Canada
Chile
Indonesia | Canada | RCOI confirmed per RMI | Not disclosed. | Includes Covered Countries | Canada
Canada
Chile
Chile
Indonesia | RCOI confirmed as per RMI. | From Canada, Chile</t>
  </si>
  <si>
    <t>Torreon, Coahuila de Zaragoza</t>
  </si>
  <si>
    <t>Recycled, Scrap | Bismark,  Maple, Sabi s,  Tizapa, Velardeña, Madero, Parreña; | RCOI confirmed per RMI | NA | Blok Mapur-Cit, Blok Bemban Utara, Blok Kepuh Utara | RCOI confirmed as per RMI. | Not disclosed by supplier</t>
  </si>
  <si>
    <t>Recycled, Scrap | UNITED STATES OF AMERICA; UNKNOWN; MEXICO | China, Mexico, USA, Recycled/Scrap, Japan, Canada, Peru | RCOI confirmed per RMI | Includes Covered Countries | NA | Kab. Bangka, Indonesia/ Kab. Bangka Tengah, Indonesia | RCOI confirmed as per RMI. | LBMA Good Delivery Sourcing based on RMAP-RMI's RCOI data</t>
  </si>
  <si>
    <t>North Attleboro, Massachusetts</t>
  </si>
  <si>
    <t>Mining, recycled and scrap sources | Recycled, Scrap | NA | recycled | RCOI confirmed per RMI | Recycled | RCOI confirmed as per RMI. | Mining, recycled and scrap sources not disclosed by supplier</t>
  </si>
  <si>
    <t>Mining, recycled and scrap sources | Recycled, Scrap | UNITED STATES; UNITED STATES OF AMERICA; UNKNOWN | recycled | Canada, USA, China, Mexico, Switzerland, Brazil, Recycled/Scrap, Japan, Bolivia | RCOI confirmed per RMI | Includes Covered Countries | Recycled | RCOI confirmed as per RMI. | LBMA Good Delivery Sourcing and RJC Sourcing not disclosed, Scrap &amp; Recycled</t>
  </si>
  <si>
    <t>Marin, Neuchâtel</t>
  </si>
  <si>
    <t>SWITZERLAND | Huckleberry | Mining, recycled and scrap sources | Recycled, Scrap | Unknown; Metalor Technologies SA; Recycled | Recycled | RCOI confirmed per RMI | Not disclosed | NA | Recycled,
a. North Attleboro, Massachusetts, USA | RCOI confirmed as per RMI. | Mining, recycled sources not disclosed by supplier</t>
  </si>
  <si>
    <t>SWITZERLAND | Canada | Mining, recycled and scrap sources | Recycled, Scrap | SWITZERLAND; UNKNOWN | Ivory Coast, Recycled/Scrap, Switzerland, Canada, Sweden, China, Belgium, USA, United Kingdom, Indonesia, Angola, Burundi, DRC or an adjoining country (Covered Countries), Rwanda, England, Peru | Recycled etc. | RCOI confirmed per RMI | Not disclosed | Includes Covered Countries | NA | Recycled,
a. North Attleboro, Massachusetts, USA | RCOI confirmed as per RMI. | LBMA Good Delivery Sourcing and RJC Sourcing not disclosed, Scrap &amp; Recycled</t>
  </si>
  <si>
    <t>Singapore, South West</t>
  </si>
  <si>
    <t>Mining, recycled and scrap sources | RCOI confirmed per RMI | Not disclosed | Recycled and scrap sourced | RCOI confirmed as per RMI. | Mining, recycled and scrap sources not disclosed by supplier</t>
  </si>
  <si>
    <t>Mining, recycled and scrap sources | Singapore, China, Switzerland, Recycled/Scrap, Peru, Indonesia | Not coverd countries area | RCOI confirmed per RMI | Not disclosed | Excludes Covered Countries | 0 | RCOI confirmed as per RMI. | LBMA Good Delivery Sourcing and RJC Sourcing not disclosed, Scrap &amp; Recycled</t>
  </si>
  <si>
    <t>Kwai Chung, Hong Kong SAR</t>
  </si>
  <si>
    <t>Mining, recycled and scrap sources | Metalor Technologies（Hong Kong）Ltd; Mining, recycled and scrap sources From congagold ore From Metalor Technologies (Hong Kong) Ltd.; / | recycled | RCOI confirmed per RMI | Recycled | RCOI confirmed as per RMI. | Mining, recycled and scrap sources, from congagold ore</t>
  </si>
  <si>
    <t>Mining, recycled and scrap sources | CHINA; UNKNOWN; HONG KONG | recycled | China, USA, Japan, Australia, Peru, Switzerland, Recycled/Scrap, Switzerland | RCOI confirmed per RMI | Excludes Covered Countries | Recycled | RCOI confirmed as per RMI. | From Peru and China</t>
  </si>
  <si>
    <t>Suzhou Industrial Park, Jiangsu Sheng</t>
  </si>
  <si>
    <t>Suzhou Industrial Park</t>
  </si>
  <si>
    <t>Mining, recycled and scrap sources | Some are recycled, scrap, covered countries or DRC sourced but not all. | NA; China | Shanghai Exchange Market | RCOI confirmed per RMI | RCOI confirmed as per RMI. | Mining, recycled and scrap sources not disclosed by supplier</t>
  </si>
  <si>
    <t>Mining, recycled and scrap sources | Some are recycled, scrap, covered countries or DRC sourced but not all. | CHINA; SINGAPORE; UNKNOWN | Shanghai | China, South Africa, Recycled/Scrap, Brazil, Switzerland, Singapore, Indonesia, Russia | RCOI confirmed per RMI | Recycled/Scrap Only | RCOI confirmed as per RMI. | LBMA Good Delivery Sourcing and RJC Sourcing not disclosed, Scrap &amp; Recycled</t>
  </si>
  <si>
    <t>Iruma, Saitama</t>
  </si>
  <si>
    <t>recycled | Not disclosed per LBMA | scrap | Some are recycled or scrap sourced but not all. | Recycled or scrap | Recycled | RCOI confirmed per RMI | Not disclosed, Scrap &amp; Recycled | Confidential | Recycled,
a. Iruma Factory, Iruma, Saitama, Japan
b. Iruma Second Factory, Iruma, Saitama, Japan
c. Musashi Factory, Iruma, Saitama, Japan
d. R&amp;D Center, Iruma, Saitama, Japan | RCOI confirmed as per RMI.</t>
  </si>
  <si>
    <t>recycled | Not disclosed per LBMA | scrap | Some are recycled or scrap sourced but not all. | Japan, Australia, Canada, Recycled/Scrap, China, USA, United Kingdom, Indonesia, Myanmar, Cambodia, Malaysia, Kazakhstan, Portugal, Austria, Mongolia, Luxembourg, Republic Of Korea, Guyana, Brazil, Chile, Laos, Ecuador, Colombia, Argentina, Hungary, India | Recycled or scrap | Recycled | scrap
recycled | RCOI confirmed per RMI | Not disclosed, Scrap &amp; Recycled | Recycled/Scrap Only | Confidential | Recycled,
a. Iruma Factory, Iruma, Saitama, Japan
b. Iruma Second Factory, Iruma, Saitama, Japan
c. Musashi Factory, Iruma, Saitama, Japan
d. R&amp;D Center, Iruma, Saitama, Japan | RCOI confirmed as per RMI. | Mineral sourcing R/S</t>
  </si>
  <si>
    <t>Buffalo, New York</t>
  </si>
  <si>
    <t>RCOI confirmed per RMI | Recycled and scrap | Some are recycled/scrap sourced but not all. | Recycled and scrap, and mines not disclosed by supplier</t>
  </si>
  <si>
    <t>Recycled/Scrap, USA, Myanmar, Cambodia, Malaysia, Kazakhstan, Portugal, Austria, Mongolia, Luxembourg, Brazil, Guyana, Republic Of Korea, Chile, Laos, Colombia, Ecuador, Argentina, Hungary, Japan, India, Canada, Belgium, Namibia, China, Peru, Ethiopia, Ge | RCOI confirmed per RMI | Recycled and scrap | Includes Covered Countries | Canada | Some are recycled/scrap sourced but not all. | Mineral sourcing L1,R/S based on RMAP-RMI's RCOI data</t>
  </si>
  <si>
    <t>Onsan-eup, Ulsan-gwangyeoksi</t>
  </si>
  <si>
    <t>Vale | Some are recycled or scrap sourced but not all. | Escondida, Andia, Cuquicamata, Vale; Andia, Chuquicamata; From Escondida, Andia, Cuquicamata, Vale.; Codelco; Vale | Recycled | RCOI confirmed per RMI | MINERA ESCONDIDA LIMITADA(Compliant Gold Smelter  (list in CFS)) | RCOI confirmed as per RMI. | From Vale,Escondida, Andia, Cuquicamata</t>
  </si>
  <si>
    <t>Brazil | Some are recycled or scrap sourced but not all. | UNKNOWN; CHILE; BRAZIL | Republic Of Korea, Brazil, Chile, Recycled/Scrap, Singapore, China, USA, Japan, Kazakhstan, India, Mexico, South Africa, Australia, Peru, Indonesia, DRC or an adjoining country (Covered Countries), Thailand | Recycled etc. | RCOI confirmed per RMI | Includes Covered Countries | Chile(Compliant Gold Smelter  (list in CFS)) | RCOI confirmed as per RMI. | From Brazil and Chile</t>
  </si>
  <si>
    <t>Bishkek, Chüy</t>
  </si>
  <si>
    <t>Some are recycled or scrap sourced but not all. | RCOI confirmed as per RMI. | Not disclosed by supplier</t>
  </si>
  <si>
    <t>Some are recycled or scrap sourced but not all. | Brazil, Australia, Kyrgyzstan, Republic Of Korea, Recycled/Scrap, Japan | RCOI confirmed as per RMI. | LBMA Good Delivery Sourcing based on RMAP-RMI's RCOI data</t>
  </si>
  <si>
    <t>Sayama, Saitama</t>
  </si>
  <si>
    <t>recycled | Recycled | Recycled or scrap | RCOI confirmed per RMI | Not disclosed, Recycled | Some are recycled or scrap sourced but not all. | Huckleberry | Some are recycled/scrap sourced but not all. | Recycled and scrap, and mines not disclosed by supplier</t>
  </si>
  <si>
    <t>recycled | JAPAN; UNKNOWN | Myanmar, Cambodia, Malaysia, Kazakhstan, Portugal, Mongolia, Austria, Luxembourg, Republic Of Korea, Brazil, Guyana, Chile, Laos, Ecuador, Colombia, Argentina, Hungary, Japan, India, Canada, Belgium, Namibia, China, Peru, Germany, Ethiopia, Russia, Vietna | Recycled or scrap | Recycled | RCOI confirmed per RMI | Not disclosed, Recycled | Excludes Covered Countries | Some are recycled or scrap sourced but not all. | Canada
recycled | Some are recycled/scrap sourced but not all. | Mineral sourcing L1,R/S based on RMAP-RMI's RCOI data | Excludes Covered Countries and CAHRA</t>
  </si>
  <si>
    <t>Magna, Utah</t>
  </si>
  <si>
    <t>CHINA; UNITED STATES OF AMERICA; UNKNOWN | USA, China, DRC or an adjoining country (Covered Countries), Myanmar, Cambodia, Malaysia, Kazakhstan, Portugal, Mongolia, Austria, Luxembourg, Brazil, Republic Of Korea, Guyana, Chile, Laos, Colombia, Ecuador, Argentina, Hungary, Japan, India, Canada, Bel | RCOI confirmed per RMI | Excludes Covered Countries | RCOI confirmed as per RMI. | LBMA Good Delivery Sourcing based on RMAP-RMI's RCOI data</t>
  </si>
  <si>
    <t>Ust-Kamenogorsk, Qaraghandy oblysy</t>
  </si>
  <si>
    <t>Some are recycled or scrap sourced but not all. | Japan, China, Australia, Kazakhstan, Peru, Switzerland, Brazil, Chile, Recycled/Scrap, Indonesia, Republic Of Korea, Singapore | 0 | RCOI confirmed as per RMI. | LBMA Good Delivery Sourcing based on RMAP-RMI's RCOI data</t>
  </si>
  <si>
    <t>Ōita, Ôita</t>
  </si>
  <si>
    <t>ōita</t>
  </si>
  <si>
    <t>Not disclosed per LBMA | Caserones　etc. | Cadia | Because it is a Conformant Gold Refiner, is no problem. | Some are recycled or scrap sourced but not all. | Los Pelambres Mine | This column would be traced/certified by CFS program. | Recycled or scrap | Recycled | RCOI confirmed per RMI | Los Pelambres Mine
Cadia | 0 | Los Pelambres Mine
Collahuasi Mine
Escondida Mine
Cadia Hill &amp; Ridgeway Mines | Recycled,
a. Oita, Oita, Japan | RCOI confirmed as per RMI. | From various mines:
Los Pelambres Mine
Collahuasi Mine
Escondida Mine
Cadia Hill &amp; Ridgeway Mines</t>
  </si>
  <si>
    <t>Not disclosed per LBMA | Chile etc. | Australia
recycled | recycled | Because it is a Conformant Gold Refiner, is no problem. | Some are recycled or scrap sourced but not all. | UNKNOWN; CHILE | Chile | Recycled/Scrap, Japan, Australia, Canada, Chile, Saudi Arabia, China, United Kingdom, Indonesia, England | This column would be traced/certified by CFS program. | Recycled or scrap | Recycled | Chile
Australia | Australia | RCOI confirmed per RMI | Chile, Brazil. | Excludes Covered Countries | 0 | Chile
Chile
Chile
Australia | Recycled,
a. Oita, Oita, Japan | RCOI confirmed as per RMI. | From Chili and Australia</t>
  </si>
  <si>
    <t>Verkhnyaya Pyshma, Sverdlovskaya oblast'</t>
  </si>
  <si>
    <t>Russia, China, Brazil, Australia, Switzerland, Recycled/Scrap | 0 | RCOI confirmed as per RMI. | LBMA Good Delivery Sourcing based on RMAP-RMI's RCOI data</t>
  </si>
  <si>
    <t>Brampton, Ontario</t>
  </si>
  <si>
    <t>Johnson Matthey Canada | NA | RCOI confirmed per RMI | RCOI confirmed as per RMI. | Not disclosed by supplier</t>
  </si>
  <si>
    <t>Canada | CANADA; JAPAN; UNKNOWN | Canada, Recycled/Scrap, Japan, Australia, Italy, China, Peru | RCOI confirmed per RMI | Includes Covered Countries | RCOI confirmed as per RMI. | LBMA Good Delivery Sourcing based on RMAP-RMI's RCOI data</t>
  </si>
  <si>
    <t>Salt Lake City, Utah</t>
  </si>
  <si>
    <t>Johnson Matthey Inc; unknown | Recycled | RCOI confirmed per RMI | NA | RCOI confirmed as per RMI. | Recycled sources and mines not disclosed by supplier</t>
  </si>
  <si>
    <t>UNITED STATES; UNKNOWN | Recycled/Scrap, USA, Canada, China, Uzbekistan, Bermuda, Malaysia, Australia, Chile, Peru, Indonesia | Recycled etc. | RCOI confirmed per RMI | Includes Covered Countries | NA | UNITED STATES|Recycled | RCOI confirmed as per RMI. | LBMA Good Delivery Sourcing based on RMAP-RMI's RCOI data</t>
  </si>
  <si>
    <t>Guixi City, Jiangxi Sheng</t>
  </si>
  <si>
    <t>Some are recycled or scrap sourced but not all. | USA, China, Japan, Rwanda, Chile, Peru, Albania, Afghanistan, Canada, Recycled/Scrap, Spain | CHINA | RCOI confirmed as per RMI. | LBMA Good Delivery Sourcing based on RMAP-RMI's RCOI data</t>
  </si>
  <si>
    <t>Osaka, Osaka</t>
  </si>
  <si>
    <t>Japan, Italy, Mexico, Australia, Recycled/Scrap, Republic Of Korea | 0 | RCOI confirmed as per RMI. | LBMA Good Delivery Sourcing based on RMAP-RMI's RCOI data</t>
  </si>
  <si>
    <t>Kuyumcukent, İstanbul</t>
  </si>
  <si>
    <t>Some are recycled, scrap, covered countries or DRC sourced but not all. | RCOI confirmed per RMI | 0 | RCOI confirmed as per RMI. | Not disclosed by supplier</t>
  </si>
  <si>
    <t>Some are recycled, scrap, covered countries or DRC sourced but not all. | TURKEY; UNKNOWN | Turkey, Canada | RCOI confirmed per RMI | Includes Covered Countries | Not disclosed per LBMA | RCOI confirmed as per RMI. | LBMA Good Delivery Sourcing based on RMAP-RMI's RCOI data</t>
  </si>
  <si>
    <t>Soka, Saitama</t>
  </si>
  <si>
    <t>recycled | Cadia | Some are recycled, scrap or DRC sourced but not all. | Recycled or scrap | Recycled | RCOI confirmed per RMI | Not disclosed, Recycled | RCOI confirmed as per RMI. | Recycled, Scrap and some not dicslosed by supplier</t>
  </si>
  <si>
    <t>recycled | Australia | Some are recycled, scrap or DRC sourced but not all. | Recycled/Scrap, Canada, USA, China, Japan, Australia, Peru, Chile, Indonesia, Mineral Sourcing L1 Japan | Recycled or scrap | Recycled etc. | RCOI confirmed per RMI | Chile, Australia. Recycled. | Excludes Covered Countries | RCOI confirmed as per RMI. | LBMA Good Delivery Sourcing based on RMAP-RMI's RCOI data, and Mineral sourcing R/S</t>
  </si>
  <si>
    <t>Hohhot, Nei Mongol Zizhiqu</t>
  </si>
  <si>
    <t>Some are recycled, scrap, covered countries or DRC sourced but not all. | RCOI confirmed as per RMI. | Not disclosed by supplier</t>
  </si>
  <si>
    <t>Some are recycled, scrap, covered countries or DRC sourced but not all. | Recycled/Scrap, Indonesia, China, Mongolia, Mexico, Republic Of Korea, Canada | RCOI confirmed as per RMI. | LBMA Good Delivery Sourcing based on RMAP-RMI's RCOI data</t>
  </si>
  <si>
    <t>Hanau, Hessen</t>
  </si>
  <si>
    <t>Recycled | Not disclosed by supplier</t>
  </si>
  <si>
    <t>Chile, Germany, Recycled/Scrap, Switzerland, USA, China, India, South Africa, Malaysia, Peru, Australia, Bolivia | Recycled | Not disclosed</t>
  </si>
  <si>
    <t>Fanling, Hong Kong SAR</t>
  </si>
  <si>
    <t>recycled | Not disclosed per LBMA | 50% recycled and scrap, 50% market(from Switzerland / United States/ Japan) | Some are recycled, scrap, covered countries or DRC sourced but not all. | RECYCLED; Philippine associated smelting &amp; Refining corporation; Heraeus Ltd. Hong Kong | Recycled and scrap | Recycled | RCOI confirmed per RMI | recycled or scrap | recycled and scrap | NA | Recycled or scrap | RCOI confirmed as per RMI. | Recycled, Scrap and mines (Philippine associated smelting &amp; Refining )</t>
  </si>
  <si>
    <t>recycled | Not disclosed per LBMA | 50% recycled and scrap, 50% market(from Switzerland / United States/ Japan) | Some are recycled, scrap, covered countries or DRC sourced but not all. | PHILIPPINES; CHINA; UNKNOWN | Recycled and scrap | Singapore, Vietnam, China, Japan, Philippines, Malaysia, Thailand, Switzerland, Canada, Mozambique, South Africa, Australia, France, Laos, Peru, Germany, USA, Chile, Recycled/Scrap, Mongolia, Austria, Mexico | Recycled etc. | RCOI confirmed per RMI | recycled or scrap | recycled and scrap | Includes Covered Countries | NA | Recycled or scrap | RCOI confirmed as per RMI. | LBMA Good Delivery Sourcing and RJC Sourcing, from various mines from Philippines, Thailand, Laos and Mineral sourcing R/S</t>
  </si>
  <si>
    <t>Pforzheim, Baden-Württemberg</t>
  </si>
  <si>
    <t>RCOI confirmed per RMI | 0 | RCOI confirmed as per RMI. | Recycled and scrap, and mines not disclosed by supplier</t>
  </si>
  <si>
    <t>SINGAPORE; UNKNOWN | Germany, Recycled/Scrap, China, Philippines, Malaysia, Canada, Austria, Mongolia, Mozambique, Mexico, South Africa, USA, Australia, Turkey, Italy | RCOI confirmed per RMI | Excludes Covered Countries | R/S | RCOI confirmed as per RMI. | LBMA Good Delivery Sourcing based on RMAP-RMI's RCOI data</t>
  </si>
  <si>
    <t>Seo-gu, Incheon-gwangyeoksi</t>
  </si>
  <si>
    <t>Recycled, Scrap | Some are recyled/scrap sourced but not all. | Recycled and scrap, and mines not disclosed by supplier</t>
  </si>
  <si>
    <t>Recycled, Scrap | Canada, China, USA, Japan, United Kingdom, Mexico, South Africa, Australia, Switzerland, Indonesia, Republic Of Korea, Recycled/Scrap | Some are recyled/scrap sourced but not all. | Mineral sourcing Excludes Covered Countries, LR,R/S based on RMAP-RMI's RCOI data | Excludes Covered Countries | Excludes Covered Countries and CAHRA</t>
  </si>
  <si>
    <t>Novosibirsk, Novosibirskaya oblast'</t>
  </si>
  <si>
    <t>Some are recycled or scrap sourced but not all. | Canada, Russia, China, Philippines, Brazil, Italy, Malaysia, Bolivia, Switzerland, Peru, Recycled/Scrap, Indonesia, Japan, Austria, USA, DRC or an adjoining country (Covered Countries) | 0 | RCOI confirmed as per RMI. | LBMA Good Delivery Sourcing based on RMAP-RMI's RCOI data</t>
  </si>
  <si>
    <t>Honjo, Saitama</t>
  </si>
  <si>
    <t>Recycled | Recycled, Scrap | Recyled/Scrap</t>
  </si>
  <si>
    <t>Recycled/Scrap | Recycled | R/S | Excludes Covered Countries | Recyled/Scrap | Mineral sourcing R/S based on RMAP-RMI's RCOI data</t>
  </si>
  <si>
    <t>Kosaka, Akita</t>
  </si>
  <si>
    <t>Huckleberry | www.responsiblemineralsinitiative.org | Recycled or scrap | Recycled | RCOI confirmed per RMI | Some are recycled or scrap sourced but not all. | Recycled,
a. Kosaka, Akiau, Japan b. Chiyoda, Tokyo, Japan | Some are recyled/scrap sourced but not all. | Recycled, Scrap, mines from Huckleberry</t>
  </si>
  <si>
    <t>Canada
recycled | Canada | Recycled/Scrap, Canada, Japan, Australia, Mexico | Recycled or scrap | Recycled | RCOI confirmed per RMI | Scrap &amp; Recycled. | Includes Covered Countries | Some are recycled or scrap sourced but not all. | Recycled,
a. Kosaka, Akiau, Japan b. Chiyoda, Tokyo, Japan | Some are recyled/scrap sourced but not all. | Mineral sourcing LR,R/S from Canada</t>
  </si>
  <si>
    <t>Some are sourced from covered countries but not all. | Recyled/Scrap | Recycled, Scrap</t>
  </si>
  <si>
    <t>Some are sourced from covered countries but not all. | Recycled/Scrap, Canada, China, USA, Japan, Chile, Australia, Peru, Germany, Brazil, Indonesia | Recyled/Scrap | Mineral sourcing R/S based on RMAP-RMI's RCOI data</t>
  </si>
  <si>
    <t>Gimpo, Gyeonggi-do</t>
  </si>
  <si>
    <t>Some are recycled, scrap, covered countries or DRC sourced but not all. | Recycled | Recyled/Scrap | Recycled, Scrap</t>
  </si>
  <si>
    <t>Some are recycled, scrap, covered countries or DRC sourced but not all. | Recycled/Scrap, Republic Of Korea, Brazil, South Africa, Australia, Republic Of Korea, Japan, Kazakhstan, China, Russia, Saudi Arabia | Recycled | Recyled/Scrap | Mineral sourcing R/S based on RMAP-RMI's RCOI data | Recycled/Scrap Only</t>
  </si>
  <si>
    <t>Huangshi, Hubei Sheng</t>
  </si>
  <si>
    <t>Chiyoda, Tokyo</t>
  </si>
  <si>
    <t>Some are recycled, scrap, covered countries or DRC sourced but not all. | 0 | Some are recyled/scrap sourced but not all. | Recycled and scrap, and mines not disclosed by supplier</t>
  </si>
  <si>
    <t>Some are recycled, scrap, covered countries or DRC sourced but not all. | Canada, USA, Japan, Australia, Chile, Peru, Indonesia, Recycled/Scrap, Germany, Turkey | 0 | Some are recyled/scrap sourced but not all. | Mineral sourcing R/S,LR, some are recycled or scrap sourced but not all. | Excludes Covered Countries | Excludes Covered Countries and CAHRA</t>
  </si>
  <si>
    <t>Some are recycled, scrap, covered countries or DRC sourced but not all. | Scrap | RCOI confirmed per RMI | NA | RCOI confirmed as per RMI. | Not disclosed by supplier</t>
  </si>
  <si>
    <t>Some are recycled, scrap, covered countries or DRC sourced but not all. | ITALY; UNKNOWN | Italy, Recycled/Scrap, Turkey, Mexico, Australia, Switzerland, Republic Of Korea | RCOI confirmed per RMI | Includes Covered Countries | NA | RCOI confirmed as per RMI. | LBMA Good Delivery Sourcing based on RMAP-RMI's RCOI data</t>
  </si>
  <si>
    <t>Biel-Bienne, Bern</t>
  </si>
  <si>
    <t>Some are recycled, scrap, covered countries or DRC sourced but not all. | Recycled/Scrap, Australia, Switzerland, Germany, Canada | RCOI confirmed as per RMI. | Mineral sourcing not disclosed per RJC</t>
  </si>
  <si>
    <t>Montréal, Quebec</t>
  </si>
  <si>
    <t>Some are recycled, scrap, covered countries or DRC sourced but not all. | RCOI confirmed per RMI | a. Montréal, Quebec, Canada | RCOI confirmed as per RMI. | Not disclosed by supplier</t>
  </si>
  <si>
    <t>Some are recycled, scrap, covered countries or DRC sourced but not all. | Recycled/Scrap, Canada, Chile, Peru, USA, China, Japan, Brazil, Australia, Germany, DRC or an adjoining country (Covered Countries), Argentina, Zambia, Switzerland, Indonesia, Bolivia | RCOI confirmed per RMI | Excludes Covered Countries | a. Montréal, Quebec, Canada | RCOI confirmed as per RMI. | LBMA Good Delivery Sourcing based on RMAP-RMI's RCOI data</t>
  </si>
  <si>
    <t>Some are recycled, scrap, covered countries or DRC sourced but not all. | RCOI confirmed per RMI | 0 | Gejiu Zili Mining&amp;Smelting Co., Ltd. | RCOI confirmed as per RMI. | Not disclosed by supplier</t>
  </si>
  <si>
    <t>Some are recycled, scrap, covered countries or DRC sourced but not all. | Canada, Sweden, Ireland, China, Finland, Indonesia, Recycled/Scrap, Japan, Brazil, Chile, Australia, Peru, Germany, Mexico, Thailand, Russia | RCOI confirmed per RMI | Includes Covered Countries | Not disclosed per LBMA | China | RCOI confirmed as per RMI. | LBMA Good Delivery Sourcing and RJC Sourcing based on RMAP-RMI's RCOI data</t>
  </si>
  <si>
    <t>Skelleftehamn, Västerbottens län [SE-24]</t>
  </si>
  <si>
    <t>Some are recycled, scrap, covered countries or DRC sourced but not all. | Sweden, Canada, Philippines, China, Brazil, Italy, Indonesia, Ireland, Finland, Recycled/Scrap, Japan | RCOI confirmed per RMI | Includes Covered Countries | Not disclosed per LBMA | RCOI confirmed as per RMI. | LBMA Good Delivery Sourcing based on RMAP-RMI's RCOI data</t>
  </si>
  <si>
    <t>Quezon City, Rizal</t>
  </si>
  <si>
    <t>Some are recycled, scrap, covered countries or DRC sourced but not all. | 0 | RCOI confirmed as per RMI. | Not disclosed by supplier</t>
  </si>
  <si>
    <t>Some are recycled, scrap, covered countries or DRC sourced but not all. | ITALY; UNKNOWN | Italy, Philippines, Canada, China, Brazil, Indonesia, Recycled/Scrap, USA, Japan, Germany, India, Peru | - | RCOI confirmed as per RMI. | LBMA Good Delivery Sourcing based on RMAP-RMI's RCOI data</t>
  </si>
  <si>
    <t>Hamburg, Hamburg</t>
  </si>
  <si>
    <t>Some are recycled, scrap or covered countries sourced but not all. | RCOI confirmed per RMI | RCOI confirmed as per RMI. | Not disclosed by supplier</t>
  </si>
  <si>
    <t>Some are recycled, scrap or covered countries sourced but not all. | GERMANY; UNKNOWN; BRAZIL | Canada, China, USA, Uzbekistan, Malaysia, Bermuda, Australia, Chile, Peru, Indonesia, Brazil, Bulgaria, Recycled/Scrap, Japan, Germany, Germany, Turkey, Republic Of Korea, DRC or an adjoining country (Covered Countries) | RCOI confirmed per RMI | Includes Covered Countries | RCOI confirmed as per RMI. | LBMA Good Delivery Sourcing based on RMAP-RMI's RCOI data</t>
  </si>
  <si>
    <t>Tamura, Fukushima</t>
  </si>
  <si>
    <t>Recycled | scrap | Recycled, Scrap | Asaka Riken Co., Ltd. | Not disclosed | 0 | Recycled|Recycled or Scrap | Recyled/Scrap</t>
  </si>
  <si>
    <t>Recycled | scrap | Recycled, Scrap | JAPAN; UNITED STATES OF AMERICA; UNKNOWN | Recycled/Scrap, Japan, DRC or an adjoining country (Covered Countries), Myanmar, Angola, Cambodia, Malaysia, Kazakhstan, Portugal, Mongolia, Austria, Mozambique, Luxembourg, Brazil, Guyana, Republic Of Korea, Chile, Laos, Ecuador, Colombia, Argentina, Hun | R/S | Not disclosed | Includes Covered Countries | 0 | Japan|Recycled or Scrap | Recyled/Scrap | Mineral sourcing R/S based on RMAP-RMI's RCOI data | Recycled/Scrap Only</t>
  </si>
  <si>
    <t>Kobe, Hyogo, Japan</t>
  </si>
  <si>
    <t>recycled | Recycled | Some are recycled or scrap sourced but not all. | scrap | Recycled or scrap | RCOI confirmed per RMI | Not disclosed. | Recycle (London Bullion Market Association-LBMA) | RCOI confirmed as per RMI. | Recycled, Scrap</t>
  </si>
  <si>
    <t>recycled | Recycled | Some are recycled or scrap sourced but not all. | JAPAN; UNKNOWN | scrap | Recycled/Scrap, Brazil, United Kingdom, Indonesia, Papua New Guinea, Australia, Argentina, Chile, Peru, Canada, Japan, USA, China, Germany, Switzerland | Recycled or scrap | scrap
recycled | RCOI confirmed per RMI | Not disclosed. | Includes Covered Countries | Britain | RCOI confirmed as per RMI. | Mineral sourcing R/S</t>
  </si>
  <si>
    <t>Mendrisio, Ticino</t>
  </si>
  <si>
    <t>Not disclosed per LBMA | Ticino | Some are recycled or scrap sourced but not all. | Mendrisio; Argor-Heraeus SA; Mendriso; Recycled | Undisclosed mine, Recycled or scrap. | Recycled | RCOI confirmed per RMI | Mendrisio | RCOI confirmed as per RMI.</t>
  </si>
  <si>
    <t>Not disclosed per LBMA | SWITZERLAND | Some are recycled or scrap sourced but not all. | SWITZERLAND; UNKNOWN | Mine located in Sweden. Recycled or scrap | Recycled/Scrap, Switzerland, Argentina, Singapore, China, Philippines, South Africa, Chile, Indonesia, Canada, Philippines, Mongolia, Sweden | Recycled etc. | RCOI confirmed per RMI | Includes Covered Countries | Switzerland | RCOI confirmed as per RMI.</t>
  </si>
  <si>
    <t>Nova Lima, Minas Gerais</t>
  </si>
  <si>
    <t>Not disclosed per LBMA | 0; Cuiabá and Lamego mines, Córrego do Sítio (Mina I, Mina II),  Serra Grande (Mina III and Mina Nova) | RCOI confirmed per RMI | RCOI confirmed as per RMI. | Not disclosed by supplier</t>
  </si>
  <si>
    <t>Not disclosed per LBMA | UNKNOWN; BRAZIL | Brazil, South Africa, Australia, Recycled/Scrap, Bolivia, Uzbekistan | RCOI confirmed per RMI | Includes Covered Countries | RCOI confirmed as per RMI. | Mineral sourcing not disclosed per LBMA RG</t>
  </si>
  <si>
    <t>Almalyk, Toshkent</t>
  </si>
  <si>
    <t>Not disclosed per RJC/LBMA | 0 | RCOI confirmed as per RMI. | Not disclosed by supplier</t>
  </si>
  <si>
    <t>Not disclosed per RJC/LBMA | DRC or an adjoining country (Covered Countries), Argentina, USA, Japan, Uzbekistan, Zambia, Switzerland, Canada, China, Brazil, Mexico, Chile, Australia, Peru, Germany, Brazil, Recycled/Scrap, Indonesia, Philippines | 0 | RCOI confirmed as per RMI. | LBMA Good Delivery Sourcing based on RMAP-RMI's RCOI data</t>
  </si>
  <si>
    <t>Some are recycled or scrap sourced but not all. | Agosi Ag | RCOI confirmed per RMI | 0 | RCOI confirmed as per RMI. | Not disclosed by supplier</t>
  </si>
  <si>
    <t>Some are recycled or scrap sourced but not all. | GERMANY; UNKNOWN | Recycled/Scrap, Germany, Laos, Nigeria, Sierra Leone, Thailand, Philippines, Brazil, Japan, China | RCOI confirmed per RMI | Includes Covered Countries | Not disclosed per RJC | RCOI confirmed as per RMI. | Mineral sourcing not disclosed per LBMA RG / RJC</t>
  </si>
  <si>
    <t>Fuchu, Tokyo</t>
  </si>
  <si>
    <t>Not disclosed per LBMA | recycled | Not disclosed per RJC | Not disclosed; Recycled | scrap | Recycled or scrap | Recycled | Recycled, Scrap | Scrap | Not disclosed | Recycled or Scrap | Recyled/Scrap</t>
  </si>
  <si>
    <t>Not disclosed per LBMA | recycled | Not disclosed per RJC | JAPAN; UNKNOWN | scrap | Recycled/Scrap, Japan, Canada, Bolivia, Peru, Portugal, Spain, DRC or an adjoining country (Covered Countries), Australia, Indonesia | Recycled or scrap | Recycled | R/S | Not disclosed. | Includes Covered Countries | Recycled, Scrap | Not disclosed | Recycled or Scrap | Recyled/Scrap | Mineral sourcing R/S based on RMAP-RMI's RCOI data | Recycled/Scrap Only</t>
  </si>
  <si>
    <t>Not disclosed per LBMA | Some are recyled/scrap sourced but not all. | Recycled and scrap, and mines not disclosed by supplier</t>
  </si>
  <si>
    <t>Not disclosed per LBMA | USA, Peru, Indonesia, Brazil, China, Recycled/Scrap, Chile | Some are recyled/scrap sourced but not all. | Mineral sourcing LR,R/S | Excludes Covered Countries | Excludes Covered Countries and CAHRA</t>
  </si>
  <si>
    <t>Yi Chun City, Jiangxi Sheng</t>
  </si>
  <si>
    <t>Yi Chun City</t>
  </si>
  <si>
    <t>RCOI confirmed as per RMI. | Some are sourced from covered countries or DRC but not all.</t>
  </si>
  <si>
    <t>China, DRC or an adjoining country (Covered Countries), Recycled/Scrap, USA, Australia, Mozambique, Canada | RCOI confirmed as per RMI. | Mineral sourcing L1 based on RMAP-RMI's RCOI data | Includes Covered Countries</t>
  </si>
  <si>
    <t>São João Del Rei, Minas gerais</t>
  </si>
  <si>
    <t>São João Del Rei</t>
  </si>
  <si>
    <t>Due diligence results pending | RCOI confirmed as per RMI. | Mineral sourcing LR based on RMAP-RMI's RCOI data | Excludes Covered Countries | Excludes Covered Countries and CAHRA</t>
  </si>
  <si>
    <t>Aizuwakamatsu, Fukushima</t>
  </si>
  <si>
    <t>RCOI confirmed per RMI | Recycled or Scrap | 0 | Recyled or scrap | RCOI confirmed as per RMI. | Recycled, Scrap and mines from Talison, Noventa</t>
  </si>
  <si>
    <t>Argentina, Australia, Austria, Belgium, Bolivia, Brazil, Cambodia, Canada, Chile, China, Colombia, Ivory Coast, Czech Republic, Djibouti, Ecuador, Egypt, Estonia, Ethiopia, France, Germany, Guyana, Hungary, India, Indonesia, Ireland, Israel, Japan, Kazakh | Not coverd countries area | RCOI confirmed per RMI | Recycled or Scrap | L1 | Recyled or Scrap | RCOI confirmed as per RMI. | Mineral sourcing LR based on RMAP-RMI's RCOI data | Includes Covered Countries | Includes Covered Countries and CAHRA</t>
  </si>
  <si>
    <t>Boyertown, Pennsylvania</t>
  </si>
  <si>
    <t>RCOI confirmed per RMI | Gam,Talison, Noventa, Tanco, proprietary | LR, HR, CC, DRC, R/S | Talison, Noventa, Tanco | Some are recycled/scrap, high risk countries, and covered countries sourced but not all. | From Talison, Noventa, Tanco, proprietary</t>
  </si>
  <si>
    <t>Mozambique, Australia, Canada, Recycled/Scrap, DRC or an adjoining country (Covered Countries), Myanmar, Angola, Cambodia, Malaysia, Kazakhstan, Portugal, Mongolia, Austria, Luxembourg, Guyana, Brazil, Republic Of Korea, Chile, Laos, Ecuador, Colombia, Ar | DRC,Burundi,Rwanda | Covered Country Sourcing | RCOI confirmed per RMI | Australia, Mozambique, Canada, Covered Country | LR, HR, CC, DRC, R/S | Australia, Mozambique, Canada | Some are recycled/scrap, high risk countries, and covered countries sourced but not all. | Mineral sourcing LR, HR, CC, R/S from Rwanda, DRC, Burundi, Mozambique, Brazil, Australia | Includes Covered Countries | Includes Covered Countries and CAHRA</t>
  </si>
  <si>
    <t>Laufenburg, Baden-Württemberg</t>
  </si>
  <si>
    <t>RCOI confirmed per RMI | Raw material is sourced from multiple conflict-free mines globally. Industry standard traceability schemes and other information sources are utilzed. Names and locations of all mines are disclosed to the auditor during the CSI audit. | Some are recycled/scrap, high risk countries, covered countries, and DRC sourced but not all. | Recycled, Scrap, Raw material is sourced from multiple conflict-free mines globally.</t>
  </si>
  <si>
    <t>Australia, Bolivia, Brazil, Burundi, DRC or an adjoining country (Covered Countries), Ethiopia, India, Mozambique, Namibia, Nigeria, Rwanda, Sierra Leone, Zimbabwe, Recycled/Scrap | RCOI confirmed per RMI | Australia, Bolivia, Brazil, Burundi, Democratic Republic of Congo, Ethiopia, India, Mozambique, Namibia, Nigeria, Rwanda, Sierra Leone, Zimbabwe | Recyle and purchase conflict-free minerals. | Some are recycled/scrap, high risk countries, covered countries, and DRC sourced but not all. | Mineral sourcing LR, CC, DRC, HR, R/S, from Australia, Bolivia, Brazil, Burundi, Democratic Republic of Congo, Ethiopia, India, Mozambique, Namibia, Nigeria, Rwanda, Sierra Leone, Zimbabwe | Includes Covered Countries | Includes Covered Countries and CAHRA</t>
  </si>
  <si>
    <t>Mito, Ibaraki</t>
  </si>
  <si>
    <t>RCOI confirmed per RMI | Raw material is sourced from multiple conflict-free mines globally. Industry standard traceability schemes and other information sources are utilzed. Names and locations of all mines are disclosed to the auditor during the CSI audit. | Several mines around the world. All mines are conflict free. Name of the mines is confidential by business reasons. All mines checked during CFSI Audit. | Some are recyled/scrap sourced but not all. | Recycled, Scrap, Raw material is sourced from multiple conflict-free mines globally.</t>
  </si>
  <si>
    <t>Australia, Bolivia, Brazil, Burundi, DRC or an adjoining country (Covered Countries), Ethiopia, India, Mozambique, Namibia, Nigeria, Rwanda, Sierra Leone, Zimbabwe,  Recycled/Scrap, Germany, China, Japan, Canada | RCOI confirmed per RMI | Australia, Bolivia, Brazil, Burundi, Democratic Republic of Congo, Ethiopia, India, Mozambique, Namibia, Nigeria, Rwanda, Sierra Leone, Zimbabwe | Recyle and purchase conflict-free minerals. | Some are recyled/scrap sourced but not all. | Mineral sourcing LR, R/S, Australia, Bolivia, Brazil, Burundi, Democratic Republic of Congo, Ethiopia, India, Mozambique, Namibia, Nigeria, Rwanda, Sierra Leone, Zimbabwe | Includes Covered Countries</t>
  </si>
  <si>
    <t>Newton, Massachusetts</t>
  </si>
  <si>
    <t>RCOI confirmed per RMI | Raw material is sourced from multiple conflict-free mines globally. Industry standard traceability schemes and other information sources are utilzed. Names and locations of all mines are disclosed to the auditor during the CSI audit. | Various mines, Talison | Some are recyled/scrap sourced but not all. | Recycled and scrap, and from various mines, Talison</t>
  </si>
  <si>
    <t>Australia, Bolivia, Brazil, Ethiopia, India, Mozambique, Namibia, Rwanda, Sierra Leone, Zimbabwe, Burundi, Namibia, Nigeria, DRC or an adjoining country (Covered Countries), USA, Japan, Canada, China, Germany, Recycled/Scrap, Russia, Australia, Slovenia | Not coverd countries area | RCOI confirmed per RMI | Australia, Bolivia, Brazil, Burundi, Democratic Republic of Congo, Ethiopia, India, Mozambique, Namibia, Nigeria, Rwanda, Sierra Leone, Zimbabwe | Bolivia, Brazil, Burundi, Ethiopia, 
India, Mozambique, Nambia, 
Rwanda, Sierra Leone, 
Zimbabwe, Nigeria, DRC | Some are recyled/scrap sourced but not all. | Mineral sourcing LR, R/S, Australia, Bolivia, Brazil, Burundi, Democratic Republic of Congo, Ethiopia, India, Mozambique, Namibia, Nigeria, Rwanda, Sierra Leone, Zimbabwe | Includes Covered Countries | Includes Covered Countries and CAHRA</t>
  </si>
  <si>
    <t>Hermsdorf, Thüringen</t>
  </si>
  <si>
    <t>RCOI confirmed per RMI | Some are recyled/scrap sourced but not all. | Recycled and scrap, and mines not disclosed by supplier</t>
  </si>
  <si>
    <t>Australia, Bolivia, Brazil, Burundi, DRC or an adjoining country (Covered Countries), Ethiopia, India, Mozambique, Namibia, Nigeria, Rwanda, Sierra Leone, Zimbabwe, Myanmar, Cambodia, Malaysia, Kazakhstan, Portugal, Austria, Mongolia, Luxembourg, Republic | RCOI confirmed per RMI | L1 | Raw material is sourced from multiple conflict-free mines globally. | Recyle and purchase conflict-free minerals. | Some are recyled/scrap sourced but not all. | Mineral sourcing LR, R/S based on RMAP-RMI's RCOI data | Includes Covered Countries | Includes Covered Countries and CAHRA</t>
  </si>
  <si>
    <t>Goslar, Niedersachsen</t>
  </si>
  <si>
    <t>DRC or an adjoining country (Covered Countries), Myanmar, Angola, Cambodia, Malaysia, Kazakhstan, Portugal, Mongolia, Austria, Mozambique, Luxembourg, Brazil, Republic Of Korea, Guyana, Chile, Laos, Colombia, Ecuador, Argentina, Hungary, South Sudan, Japa | DRC,Burundi,Rwanda | RCOI confirmed per RMI | Australia, Bolivia, Brazil, Burundi, Democratic Republic of Congo, Ethiopia, India, Mozambique, Namibia, Nigeria, Rwanda, Sierra Leone, Zimbabwe | United States, Germany, Japan, Thailand | Some are recycled/scrap, high risk countries, covered countries, and DRC sourced but not all. | Mineral sourcing LR, CC, DRC, HR, R/S, from Ganzhou, Sarnia, Australia, Bolivia, Brazil, Burundi, Democratic Republic of Congo, Ethiopia, India, Mozambique, Namibia, Nigeria, Rwanda, Sierra Leone, Zimbabwe | Includes Covered Countries | Includes Covered Countries and CAHRA</t>
  </si>
  <si>
    <t>Map Ta Phut, Rayong</t>
  </si>
  <si>
    <t>RCOI confirmed per RMI | Raw material is sourced from multiple conflict-free mines globally. Industry standard traceability schemes and other information sources are utilzed. Names and locations of all mines are disclosed to the auditor during the CSI audit. | Some are high risk countries, covered countries, and DRC sourced but not all. | Some are recycled, scrap, covered countries or DRC sourced but not all.</t>
  </si>
  <si>
    <t>Australia, Bolivia, Brazil, Burundi, DRC or an adjoining country (Covered Countries), Ethiopia, India, Mozambique, Namibia, Nigeria, Rwanda, Sierra Leone, Zimbabwe, Myanmar, Angola, Cambodia, Malaysia, Kazakhstan, Portugal, Austria, Mongolia, Luxembourg,  | RCOI confirmed per RMI | Australia, Bolivia, Brazil, Burundi, Democratic Republic of Congo, Ethiopia, India, Mozambique, Namibia, Nigeria, Rwanda, Sierra Leone, Zimbabwe | Raw material is sourced from multiple conflict-free mines globally. | Recyle and purchase conflict-free minerals. | Some are high risk countries, covered countries, and DRC sourced but not all. | Mineral sourcing LR, CC, DRC, HR, from Australia, Bolivia, Brazil, Burundi, Democratic Republic of Congo, Ethiopia, India, Mozambique, Namibia, Nigeria, Rwanda, Sierra Leone, Zimbabwe | Includes Covered Countries | Includes Covered Countries and CAHRA</t>
  </si>
  <si>
    <t>Matamoros, Tamaulipas</t>
  </si>
  <si>
    <t>0 | Some are recyled/scrap sourced but not all. | Recycled and scrap, and mines not disclosed by supplier</t>
  </si>
  <si>
    <t>DRC or an adjoining country (Covered Countries), Myanmar, Angola, Cambodia, Malaysia, Kazakhstan, Portugal, Mongolia, Austria, Mozambique, Mali, Luxembourg, Guyana, Republic Of Korea, Brazil, Chile, Laos, Colombia, Ecuador, Argentina, South Sudan, Hungary | Covered Country Sourcing | L1, L3, DRC, R/S | Some are recyled/scrap sourced but not all. | Mineral sourcing LR,R/S based on RMAP-RMI's RCOI data | Includes Covered Countries</t>
  </si>
  <si>
    <t>Fengxin, Jiangxi Sheng</t>
  </si>
  <si>
    <t>China, DRC or an adjoining country (Covered Countries), Recycled/Scrap, USA, Russia | RCOI confirmed as per RMI. | Mineral sourcing LR based on RMAP-RMI's RCOI data | Excludes Covered Countries | Includes Covered Countries and CAHRA</t>
  </si>
  <si>
    <t>YunFu City, Guangdong Sheng</t>
  </si>
  <si>
    <t>China, DRC or an adjoining country (Covered Countries), Kazakhstan, Recycled/Scrap | Some are recycled/scrap, and high risk sourced but not all. | Mineral sourcing LR, HR, R/S based on RMAP-RMI's RCOI data | Includes Covered Countries | Includes Covered Countries and CAHRA</t>
  </si>
  <si>
    <t>Jiujiang, Jiangxi Sheng</t>
  </si>
  <si>
    <t>RCOI confirmed as per RMI. | Not disclosed by supplier, Excludes Covered Countries</t>
  </si>
  <si>
    <t>DRC or an adjoining country (Covered Countries), Myanmar, Cambodia, Malaysia, Kazakhstan, Portugal, Mongolia, Austria, Luxembourg, Brazil, Guyana, Republic Of Korea, Chile, Laos, Ecuador, Colombia, Argentina, Hungary, Japan, India, Canada, Belgium, Namibi | RCOI confirmed as per RMI. | Mineral sourcing LR based on RMAP-RMI's RCOI data | Excludes Covered Countries | Excludes Covered Countries and CAHRA</t>
  </si>
  <si>
    <t>Zhuzhou, Hunan Sheng</t>
  </si>
  <si>
    <t>No data from supplier | Some are recyled/scrap sourced but not all. | Recycled and scrap, and mines not disclosed by supplier</t>
  </si>
  <si>
    <t>DRC or an adjoining country (Covered Countries), Recycled/Scrap, Myanmar, Cambodia, Malaysia, Kazakhstan, Portugal, Mongolia, Austria, Luxembourg, Republic Of Korea, Brazil, Guyana, Chile, Laos, Ecuador, Colombia, Argentina, Hungary, Japan, India, Canada, | No data from supplier | Some are recyled/scrap sourced but not all. | Mineral sourcing LR,R/S, from China | Includes Covered Countries</t>
  </si>
  <si>
    <t>Gastonia, North Carolina</t>
  </si>
  <si>
    <t>RCOI confirmed per RMI | Recycled or Scrap | Some are recyled/scrap sourced but not all. | Some are recycled, scrap or covered countries sourced but not all</t>
  </si>
  <si>
    <t>DRC or an adjoining country (Covered Countries), Recycled/Scrap, Indonesia, USA, China, Brazil, Ethiopia | RCOI confirmed per RMI | Recycled or Scrap | Some are recyled/scrap sourced but not all. | Mineral sourcing LR, R/S based on RMAP-RMI's RCOI data | Includes Covered Countries | Includes Covered Countries and CAHRA</t>
  </si>
  <si>
    <t>Hengyang, Hunan Sheng</t>
  </si>
  <si>
    <t>China, Scrap | 0 | Some are high-risk countries, covered countries, and DRC sourced but not all. | Some are sourced from covered countries but not all.</t>
  </si>
  <si>
    <t>Myanmar, Cambodia, Malaysia, Kazakhstan, Portugal, Austria, Mongolia, Luxembourg, Guyana, Republic Of Korea, Brazil, Chile, Laos, Ecuador, Colombia, Argentina, Hungary, Japan, India, Canada, Belgium, Namibia, China, Peru, Germany, Ethiopia, Russia, Singap | China | L1, R/S | Some are high-risk countries, covered countries, and DRC sourced but not all. | Mineral sourcing LR, HR, CC, DRC based on RMAP-RMI's RCOI data | Includes Covered Countries | Includes Covered Countries and CAHRA</t>
  </si>
  <si>
    <t>Recycled, Scrap | RCOI confirmed per RMI | Ta Scrap, Kahendwa, Katonge, Kisengo, Kiyambi, Luena, Bitango, Shori, AKANYAMWISHYURA, BITANGO, GASEKE, GASURA, GIHINGA, KABABARA, NYAMIRAMA, RUKAGARATA, SIMBA, RUSHOKA | 1. Zabaykalskiy GOK, Lovozersky GOK ;
2. M'beta, Kanka, Nyagatanga, Kanyoni, Biriyeri, Gisoro, Gasharara, Karumba, et Rushikiri, Mwogambere, Kavure et Nyamuremure, DRC Katanga (iTISCI tagged material);
3. Scrap (Powder) | Ta scrap | Kahendwa, Katonge, Kisengo, Kiyambi, Luena, Bitango,  Shori | AKANYAMWISHYURA, BITANGO,  GASEKE, GASURA, GIHINGA, KABABARA, NYAMIRAMA, RUKAGARATA, SIMBA, RUSHOKA | 1. Zabaykalskiy GOK, Lovozersky GOK ;
2. DRC Katanga (iTISCI tagged material);
3. Scrap (Powder)
|Various Mines, Talison|Zabaykalsky GOK, Lovozersky GOK|Zabaykalsky GOK, Lovozersky GOK, M'beta, Kanka, Nyagatanga, Kanyoni, Biriyeri, Gisoro, Gasharara, Karu | Some are recycled/scrap, high risk countries, covered countries, and DRC sourced but not all. | Recycled and scrap, and mines from Japan, Europe and USA</t>
  </si>
  <si>
    <t>Recycled, Scrap | Kazakhstan, DRC or an adjoining country (Covered Countries), Recycled/Scrap, Russia, Zimbabwe, Rwanda, USA, Japan, DRC or an adjoining country (Covered Countries), Australia, Myanmar, Angola, Cambodia, Malaysia, Portugal, Austria, Mongolia, Mozambique, Lu | Covered Country Sourcing | RCOI confirmed per RMI | Australia, Bolivia, Brazil, Ethiopia, India, Mozambigue, Rwanda, Sierra Leone, Zimbabwe, Japan, DRC, Katanga, Rwanda, Scrap | 1. Russia;
2. Zimbabwe, Rwanda, DRC, Katanga (iTSCi tagged material);
3. USA | Japan | DRC, Katanga | Rwanda | 1. Russia;
2. DRC, Katanga (iTSCi tagged material);
3. USA|South America/Australia|Russia, Zimbabwe, Rwanda, USA, Japan|Russia, Zimbabwe, Rwanda, USA, Japan, DRC | Some are recycled/scrap, high risk countries, covered countries, and DRC sourced but not all. | Mineral sourcing LR, HR, CC, DRC, R/S, from Europe, USA and Japan | Includes Covered Countries | Includes Covered Countries and CAHRA</t>
  </si>
  <si>
    <t>Croydon, Pennsylvania</t>
  </si>
  <si>
    <t>Some are recycled, scrap or covered countries sourced but not all. | Some are recyled/scrap sourced but not all. | Recycled and scrap, and mines not disclosed by supplier</t>
  </si>
  <si>
    <t>Some are recycled, scrap or covered countries sourced but not all. | Myanmar, Cambodia, Malaysia, Kazakhstan, Portugal, Mongolia, Austria, Luxembourg, Republic Of Korea, Brazil, Guyana, Chile, Laos, Colombia, Ecuador, Argentina, Hungary, Japan, India, Canada, Belgium, Namibia, China, Peru, Germany, Ethiopia, Russia, Vietna | Some are recyled/scrap sourced but not all. | Mineral sourcing LR,R/S based on RMAP-RMI's RCOI data | Includes Covered Countries | Includes Covered Countries and CAHRA</t>
  </si>
  <si>
    <t>Harima, Hyogo</t>
  </si>
  <si>
    <t>NA | Recyled/Scrap | Recycled, Scrap</t>
  </si>
  <si>
    <t>Myanmar, Angola, Cambodia, Malaysia, Kazakhstan, Portugal, Mongolia, Austria, Luxembourg, Republic Of Korea, Brazil, Guyana, Chile, Laos, Ecuador, Colombia, Argentina, South Sudan, Hungary, Japan, Tanzania, Zambia, DRC or an adjoining country (Covered Cou | Burundi,Rwanda | Japan | L1, L3, R/S | NA | Recyled/Scrap | Mineral sourcing R/S based on RMAP-RMI's RCOI data | Recycled/Scrap Only</t>
  </si>
  <si>
    <t>Solikamsk, Permskiy kray</t>
  </si>
  <si>
    <t>Lovozerskiy Mining &amp; Concentration Works | RCOI confirmed as per RMI. | From Lovozerskiy Mining &amp; Concentration Works OOO</t>
  </si>
  <si>
    <t>Myanmar, Cambodia, Malaysia, Kazakhstan, Portugal, Mongolia, Austria, Luxembourg, Guyana, Republic Of Korea, Brazil, Chile, Laos, Colombia, Ecuador, Argentina, Hungary, Japan, India, Canada, Belgium, Namibia, China, Peru, Germany, Ethiopia, Russia, Vietna | L1 | Russia | RCOI confirmed as per RMI. | Mineral sourcing L1 based on RMAP-RMI's RCOI data | Excludes Covered Countries | Excludes Covered Countries and CAHRA</t>
  </si>
  <si>
    <t>Some are recycled, scrap or covered countries sourced but not all. | Some are  high risk sourced but not all. | Recycled and scrap, and mines not disclosed by supplier</t>
  </si>
  <si>
    <t>Some are recycled, scrap or covered countries sourced but not all. | Russia, China, Peru, Indonesia, Recycled/Scrap, DRC or an adjoining country (Covered Countries) | Covered Country Sourcing | Some are  high risk sourced but not all. | Mineral sourcing HR, LR based on RMAP-RMI's RCOI data | Includes Covered Countries | Includes Covered Countries and CAHRA</t>
  </si>
  <si>
    <t>Carrollton, Texas</t>
  </si>
  <si>
    <t>Some are recycled or scrap sourced but not all. | NA | Recyled/Scrap | Recycled, Scrap</t>
  </si>
  <si>
    <t>Some are recycled or scrap sourced but not all. | Australia, Bolivia, Brazil, Ethiopia, India, Mozambique, Namibia, Rwanda, Sierra Leone, Zimbabwe, Recycled/Scrap, DRC or an adjoining country (Covered Countries), Burundi, Nigeria, China, USA, Poland | NA | Recyled/Scrap | Mineral sourcing R/S based on RMAP-RMI's RCOI data | Recycled/Scrap Only</t>
  </si>
  <si>
    <t>Shizuishan City, Ningxia Huizi Zizhiqu</t>
  </si>
  <si>
    <t>RCOI confirmed per RMI | CIF, Kenticha, Nanping, Yichun, Scrap | a. Shizuishan, Ningxia, China | Some are high-risk countries, covered countries, and DRC sourced but not all. | Recycled and scrap, and mines from Mibra</t>
  </si>
  <si>
    <t>Ethiopia, Brazil, China, Recycled/Scrap, Australia, Rwanda, Australia, DRC or an adjoining country (Covered Countries), Myanmar, Angola, Cambodia, Malaysia, Kazakhstan, Portugal, Austria, Mongolia, Mozambique, Luxembourg, Republic Of Korea, Guyana, Chile, | Burundi,Rwanda | RCOI confirmed per RMI | Brazil, Ethiopia, China, Scrap | Ethiopia, Brazil, China | a. Shizuishan, Ningxia, China | Some are high-risk countries, covered countries, and DRC sourced but not all. | Mineral sourcing LR, HR, DRC, CC based on RMAP-RMI's RCOI data, from Brazil and China | Includes Covered Countries | Includes Covered Countries and CAHRA</t>
  </si>
  <si>
    <t>Sillamäe, Ida-Virumaa</t>
  </si>
  <si>
    <t>Some are high risk, covered countries and DRC sourced but not all. | Some are sourced from covered countries or DRC but not all.</t>
  </si>
  <si>
    <t>DRC or an adjoining country (Covered Countries), Recycled/Scrap, Myanmar, Cambodia, Malaysia, Kazakhstan, Portugal, Mongolia, Austria, Luxembourg, Guyana, Brazil, Republic Of Korea, Chile, Laos, Colombia, Ecuador, Argentina, Hungary, Japan, India, Canada, | Some are high risk, covered countries and DRC sourced but not all. | Mineral sourcing HR, DRC, CC, LR based on RMAP-RMI's RCOI data | Includes Covered Countries | Includes Covered Countries and CAHRA</t>
  </si>
  <si>
    <t>Omuta, Fukuoka</t>
  </si>
  <si>
    <t>Ore : Wodgina
Scrap | NA | Ore: Wodgina
Scrap | Some are recyled/scrap sourced but not all. | Recycled and scrap, and mines not disclosed by supplier</t>
  </si>
  <si>
    <t>Recycled/Scrap, Japan, Australia, Canada, Chile, South Africa, DRC or an adjoining country (Covered Countries), USA, China | Not coverd countries area | Ore : Austraria
Scrap | NA | Ore: Austraria
Scrap | Some are recyled/scrap sourced but not all. | Mineral sourcing LR,R/S based on RMAP-RMI's RCOI data | Excludes Covered Countries | Excludes Covered Countries and CAHRA</t>
  </si>
  <si>
    <t>Presidente Figueiredo, Amazonas</t>
  </si>
  <si>
    <t>0 | RCOI confirmed as per RMI. | Not disclosed by supplier, Excludes Covered Countries</t>
  </si>
  <si>
    <t>Brazil | L1 | RCOI confirmed as per RMI. | Mineral sourcing L1 based on RMAP-RMI's RCOI data | Excludes Covered Countries | Excludes Covered Countries and CAHRA</t>
  </si>
  <si>
    <t>District Raigad, Maharashtra</t>
  </si>
  <si>
    <t>Myanmar, Cambodia, Malaysia, Kazakhstan, Portugal, Austria, Mongolia, Mozambique, Luxembourg, Guyana, Republic Of Korea, Brazil, USA, Chile, Laos, Ecuador, Colombia, Argentina, Hungary, Japan, India, Canada, Belgium, Namibia, China, South Africa, Peru, Et | RCOI confirmed per RMI | Some are recyled/scrap sourced but not all. | Mineral sourcing LR, R/S based on RMAP-RMI's RCOI data | Excludes Covered Countries | Excludes Covered Countries and CAHRA</t>
  </si>
  <si>
    <t>São João del Rei, Minas Gerais</t>
  </si>
  <si>
    <t>Recycled, Scrap | 0 | RCOI confirmed as per RMI. | Not disclosed by supplier</t>
  </si>
  <si>
    <t>Recycled, Scrap | Recycled/Scrap, DRC or an adjoining country (Covered Countries), Myanmar, Cambodia, Malaysia, Kazakhstan, Portugal, Austria, Mongolia, Luxembourg, Guyana, Brazil, Republic Of Korea, Chile, Laos, Ecuador, Colombia, Argentina, Hungary, Japan, India, Canada, | L1 | RCOI confirmed as per RMI. | Mineral sourcing LR based on RMAP-RMI's RCOI data | Excludes Covered Countries | Excludes Covered Countries and CAHRA</t>
  </si>
  <si>
    <t>China, Scrap | Some are recycled, scrap, cover countries or DRC sourced but not all. | Some are recycled/scrap, high risk, and DRC sourced but not all. | Scrap and mines</t>
  </si>
  <si>
    <t>DRC or an adjoining country (Covered Countries), Myanmar, Angola, Cambodia, Malaysia, Kazakhstan, Portugal, Mongolia, Austria, Mozambique, Luxembourg, Republic Of Korea, Brazil, Guyana, Chile, Laos, Ecuador, Colombia, Argentina, South Sudan, Hungary, Japa | Not coverd countries area | Covered Country Sourcing | China | Some are recycled, scrap, cover countries or DRC sourced but not all. | Some are recycled/scrap, high risk, and DRC sourced but not all. | Mineral sourcing from Jiangxi Province | Excludes Covered Countries | Includes Covered Countries and CAHRA</t>
  </si>
  <si>
    <t>Recycled, Scrap | China, Scrap | Recycled | Some are high risk countries, covered countries, and DRC sourced but not all. | Some are sourced from covered countries or DRC but not all.</t>
  </si>
  <si>
    <t>Recycled, Scrap | DRC or an adjoining country (Covered Countries), Myanmar, Angola, Cambodia, Malaysia, Kazakhstan, Portugal, Austria, Mongolia, Luxembourg, Republic Of Korea, Guyana, Brazil, Chile, Laos, Ecuador, Colombia, Argentina, South Sudan, Hungary, Japan, Tanzania, | Covered Country Sourcing | China | Recycled | Some are high risk countries, covered countries, and DRC sourced but not all. | Mineral sourcing DRC, CC, HR based on RMAP-RMI's RCOI data | Includes Covered Countries | Includes Covered Countries and CAHRA</t>
  </si>
  <si>
    <t>Yingde, Guangdong Sheng</t>
  </si>
  <si>
    <t>Sourced from covered countries. | 0 | Some are recycled/scrap, high risk countries, covered countries, and DRC sourced but not all. | Recycled and scrap, and mines not disclosed by supplier</t>
  </si>
  <si>
    <t>Sourced from covered countries. | DRC or an adjoining country (Covered Countries), Myanmar, Cambodia, Malaysia, Kazakhstan, Portugal, Mongolia, Austria, Luxembourg, Guyana, Brazil, Republic Of Korea, Chile, Laos, Colombia, Ecuador, Argentina, Hungary, Japan, India, Canada, Belgium, Namibi | L1, R/S | Some are recycled/scrap, high risk countries, covered countries, and DRC sourced but not all. | Mineral sourcing LR, HR, DRC, CC, R/S based on RMAP-RMI's RCOI data | Includes Covered Countries | Includes Covered Countries and CAHRA</t>
  </si>
  <si>
    <t>Jiangmen, Guangdong Sheng</t>
  </si>
  <si>
    <t>Some are recycled, scrap or covered countries sourced but not all. | RCOI confirmed per RMI | No data from supplier | 0 | Scrap
a. Jiangmen, Guangdong, China | Some are high-risk countries, covered countries, and DRC sourced but not all. | Some are recycled, scrap, covered countries or DRC sourced but not all.</t>
  </si>
  <si>
    <t>Some are recycled, scrap or covered countries sourced but not all. | DRC or an adjoining country (Covered Countries), Myanmar, Angola, Cambodia, Malaysia, Kazakhstan, Portugal, Mongolia, Austria, Luxembourg, Guyana, Brazil, Republic Of Korea, Chile, Laos, Colombia, Ecuador, Argentina, Hungary, South Sudan, Japan, Tanzania, | DRC,Burundi,Rwanda | Covered Country Sourcing | RCOI confirmed per RMI | Raw material is sourced from multiple conflict-free mines globally. | 0 | Scrap
a. Jiangmen, Guangdong, China | Some are high-risk countries, covered countries, and DRC sourced but not all. | Mineral sourcing LR, HR, DRC, CC based on RMAP-RMI's RCOI data, from China | Includes Covered Countries | Includes Covered Countries and CAHRA</t>
  </si>
  <si>
    <t>Pompano Beach, Florida</t>
  </si>
  <si>
    <t>RCOI confirmed per RMI | Recycled or Scrap | NA | a. Pompano Beach, Florida, USA | Some are recyled/scrap sourced but not all. | Recycled and scrap, and mines not disclosed by supplier</t>
  </si>
  <si>
    <t>Myanmar, Cambodia, Malaysia, Kazakhstan, Portugal, Austria, Mongolia, Mozambique, Luxembourg, Guyana, Republic Of Korea, Brazil, Chile, Laos, Ecuador, Colombia, Argentina, Hungary, Japan, India, Canada, Belgium, Namibia, China, Peru, Ethiopia, Germany, Ru | RCOI confirmed per RMI | Recycled or Scrap | NA | a. Pompano Beach, Florida, USA | Some are recyled/scrap sourced but not all. | Mineral sourcing LR,R/S based on RMAP-RMI's RCOI data | Includes Covered Countries</t>
  </si>
  <si>
    <t>Changsha, Hunan Sheng</t>
  </si>
  <si>
    <t>Some are recycled, scrap, covered countries or DRC sourced but not all. | RCOI confirmed per RMI | China, Scrap | 0 | Some are recycled/scrap sourced but not all. | Some are recycled, scrap or covered countries sourced but not all</t>
  </si>
  <si>
    <t>Some are recycled, scrap, covered countries or DRC sourced but not all. | China, Recycled/Scrap | RCOI confirmed per RMI | China | R/S | Some are recycled/scrap sourced but not all. | Mineral sourcing L1, R/S based on RMAP-RMI's RCOI data | Includes Covered Countries</t>
  </si>
  <si>
    <t>Gejiu, Yunnan Sheng</t>
  </si>
  <si>
    <t>Some are sourced from covered countries but not all. | Some are recycled/scrap sourced but not all. | Recycled and scrap, and mines not disclosed by supplier</t>
  </si>
  <si>
    <t>Some are sourced from covered countries but not all. | Due diligence results pending | Some are recycled/scrap sourced but not all. | Mineral sourcing L1,R/S based on RMAP-RMI's RCOI data | Excludes Covered Countries | Excludes Covered Countries and CAHRA</t>
  </si>
  <si>
    <t>Kigali, City of Kigali</t>
  </si>
  <si>
    <t>Some are recycled or scrap sourced but not all. | Some are sourced from covered countries but not all. | Some are  high-risk and covered countries sourced but not all. | Recycled and scrap, and mines not disclosed by supplier</t>
  </si>
  <si>
    <t>Mineral sourcing L1 based on RMAP-RMI's RCOI data | Some are sourced from covered countries but not all. | Due diligence results pending | Covered Country Sourcing | Some are  high-risk and covered countries sourced but not all. | Mineral sourcing CC, HR based on RMAP-RMI's RCOI data | Includes Covered Countries</t>
  </si>
  <si>
    <t>Tukak Sadai, Bangka Belitung</t>
  </si>
  <si>
    <t>Bangka Belitung</t>
  </si>
  <si>
    <t>NA | RCOI confirmed as per RMI. | Excludes Covered Countries</t>
  </si>
  <si>
    <t>NA | Due diligence results pending | CAHRA Sourcing | RCOI confirmed as per RMI. | Mineral sourcing LR based on RMAP-RMI's RCOI data | Excludes Covered Countries | Excludes Covered Countries and CAHRA</t>
  </si>
  <si>
    <t>Maanshan, Anhui Sheng</t>
  </si>
  <si>
    <t>Recycled, Scrap | Recyled/Scrap</t>
  </si>
  <si>
    <t>Recycled, Scrap | Due diligence results pending | Excludes Covered Countries | Recyled/Scrap | Mineral sourcing R/S based on RMAP-RMI's RCOI data | Recycled/Scrap Only</t>
  </si>
  <si>
    <t>West Chester, Pennsylvania</t>
  </si>
  <si>
    <t>Some are recycled, scrap, covered countries or DRC sourced but not all. | Some are recyled/scrap sourced but not all. | Recycled and scrap, and mines not disclosed by supplier</t>
  </si>
  <si>
    <t>Some are recycled, scrap, covered countries or DRC sourced but not all. | USA | Some are recyled/scrap sourced but not all. | Mineral sourcing LR,R/S based on RMAP-RMI's RCOI data | Includes Covered Countries</t>
  </si>
  <si>
    <t>Pangkalpinang, Kepulauan Bangka Belitung</t>
  </si>
  <si>
    <t>NA | Myanmar, Cambodia, Malaysia, Kazakhstan, Portugal, Austria, Mongolia, Luxembourg, Guyana, Brazil, Republic Of Korea, Chile, Laos, Ecuador, Colombia, Argentina, Hungary, Japan, India, Canada, Belgium, Namibia, China, Peru, Ethiopia, Germany, Russia, Singap | RCOI confirmed as per RMI. | Mineral sourcing L1 based on RMAP-RMI's RCOI data | Excludes Covered Countries and CAHRA</t>
  </si>
  <si>
    <t>Chifeng, Nei Mongol Zizhiqu</t>
  </si>
  <si>
    <t>CNMC Building,No.10,Anding Road, ChaoyangDistrict,Beijing,China | Some are recycled or scrap sourced but not all. | Some are recycled/scrap sourced but not all. | Recycled and scrap, and mines not disclosed by supplier</t>
  </si>
  <si>
    <t>CHINA; UNKNOWN | Some are recycled or scrap sourced but not all. | China, Recycled/Scrap | Excludes Covered Countries | Inner Mongolia | Some are recycled/scrap sourced but not all. | Mineral sourcing L1, R/S based from Inner Mongolia | Excludes Covered Countries and CAHRA</t>
  </si>
  <si>
    <t>Chaozhou, Guangdong Sheng</t>
  </si>
  <si>
    <t>Some are recycled or scrap sourced but not all. | RCOI confirmed per RMI | RCOI confirmed as per RMI | Recycled scrap material | Some are recycled/scrap sourced but not all. | Recycled and scrap, and mines not disclosed by supplier</t>
  </si>
  <si>
    <t>CHINA; UNKNOWN | Some are recycled or scrap sourced but not all. | China, Recycled/Scrap, DRC or an adjoining country (Covered Countries) | RCOI confirmed per RMI | Includes Covered Countries | RCOI confirmed as per RMI | Recycled scrap material | Some are recycled/scrap sourced but not all. | Mineral sourcing L1, R/S based on RMAP-RMI's RCOI data | Excludes Covered Countries | Excludes Covered Countries and CAHRA</t>
  </si>
  <si>
    <t>Ganzhou, Jiangxi Sheng</t>
  </si>
  <si>
    <t>CHINA; UNKNOWN | NA | China | RCOI confirmed as per RMI. | Mineral sourcing L1 based on RMAP-RMI's RCOI data | Excludes Covered Countries | Excludes Covered Countries and CAHRA</t>
  </si>
  <si>
    <t>Mentawak, Kepulauan Bangka Belitung</t>
  </si>
  <si>
    <t>- | NA | RCOI confirmed as per RMI. | Excludes Covered Countries</t>
  </si>
  <si>
    <t>- | NA | Australia, Indonesia, China, Recycled/Scrap | RCOI confirmed as per RMI. | Mineral sourcing LR based on RMAP-RMI's RCOI data | Excludes Covered Countries | Excludes Covered Countries and CAHRA</t>
  </si>
  <si>
    <t>Thai Nguyen, Thái Nguyên</t>
  </si>
  <si>
    <t>RMIにより確認されたRCOI | RCOI confirmed as per RMI; RCOI recognized by RMI | RCOI recognized by RMI | RCOI confirmed as per RMI. | Excludes Covered Countries</t>
  </si>
  <si>
    <t>タイ | THAILAND; VIET NAM | Thailand | Due diligence results pending | Excludes Covered Countries | RCOI confirmed as per RMI. | Mineral sourcing LR from Thailand | Excludes Covered Countries and CAHRA</t>
  </si>
  <si>
    <t>Berango, Bizkaia</t>
  </si>
  <si>
    <t>UNKNOWN; SPAIN | Some are recycled, scrap, covered countries or DRC sourced but not all. | Spain, Belgium, Recycled/Scrap, Austria, DRC or an adjoining country (Covered Countries), Myanmar, Angola, Cambodia, Malaysia, Kazakhstan, Portugal, Mongolia, Luxembourg, Guyana, Brazil, Republic Of Korea, Chile, Laos, Colombia, Ecuador, Argentina, South  | Some are recyled/scrap sourced but not all. | Mineral sourcing LR,R/S based on RMAP-RMI's RCOI data | Includes Covered Countries | Includes Covered Countries and CAHRA</t>
  </si>
  <si>
    <t>Beerse, Antwerpen</t>
  </si>
  <si>
    <t>RCOI confirmed as per RMI | Metallo-Chimique N.V. | Recycled scrap material | Recycled | RCOI confirmed per RMI | RCOI confirmed as per CFSI | Some are recyled/scrap sourced but not all. | Recycled and scrap, and mines not disclosed by supplier</t>
  </si>
  <si>
    <t>No | RCOI confirmed as per RMI | BELGIUM; UNKNOWN; SPAIN | Recycled scrap material | Belgium, DRC or an adjoining country (Covered Countries), Myanmar, Cambodia, Malaysia, Kazakhstan, Portugal, Austria, Mongolia, Luxembourg, Republic Of Korea, Guyana, Brazil, Chile, Laos, Colombia, Ecuador, Argentina, Hungary, Japan, India, Canada, Namibi | Recycled | Not coverd countries area | the DRC or an adjoining country(covered countries) | RCOI confirmed per RMI | RCOI confirmed as per CFSI | Excludes Covered Countries | Some are recyled/scrap sourced but not all. | Mineral sourcing LR,R/S based on RMAP-RMI's RCOI data | Includes Covered Countries | Includes Covered Countries and CAHRA</t>
  </si>
  <si>
    <t>INDONESIA; UNKNOWN | NA | Indonesia, Argentina, Australia, Austria, Belgium, Bolivia, Brazil, Cambodia, Canada, Chile, China, Colombia, Ivory Coast, Czech Republic, Djibouti, Ecuador, Egypt, Estonia, Ethiopia, France, Germany, Guyana, Hungary, India, Ireland, Israel, Japan, Kazakh | RCOI confirmed as per RMI. | Mineral sourcing LR based on RMAP-RMI's RCOI data | Excludes Covered Countries | Excludes Covered Countries and CAHRA</t>
  </si>
  <si>
    <t>Pangkal Pinang, Kepulauan Bangka Belitung</t>
  </si>
  <si>
    <t>- | NA | Myanmar, Cambodia, Malaysia, Kazakhstan, Portugal, Mongolia, Austria, Luxembourg, Brazil, Guyana, Republic Of Korea, Chile, Laos, Ecuador, Colombia, Argentina, Hungary, Japan, India, Canada, Belgium, Namibia, China, Peru, Ethiopia, Germany, Russia, Singap | RCOI confirmed as per RMI. | Mineral sourcing LR based on RMAP-RMI's RCOI data | Excludes Covered Countries | Excludes Covered Countries and CAHRA</t>
  </si>
  <si>
    <t>Sungailiat,Kepulauan Bangka Belitung</t>
  </si>
  <si>
    <t>Rosario, Cavite</t>
  </si>
  <si>
    <t>Recycled | Recycled, Scrap | Recyled, Scrap | Recyled/Scrap</t>
  </si>
  <si>
    <t>Recycled | Recycled, Scrap | Philippines, Recycled/Scrap, Canada, Japan, China, Brazil, Malaysia, Bolivia, Peru, Thailand | R/S | Recyled, Scrap | Recyled/Scrap | Mineral sourcing R/S based on RMAP-RMI's RCOI data | Recycled/Scrap Only</t>
  </si>
  <si>
    <t>Sungailiat, Kepulauan Bangka Belitung</t>
  </si>
  <si>
    <t>NA | Ninghua Xingluokeng Tungsten Mining Co. Ltd.|NINGHUA XINGLUOKENG TUNGSTEN MINING CO., LTD|Luokeng Mine|China|Russia|Canada|1) NingHua Xingluokeng Tungsten Mining Co. Ltd.;
2) Luoyang Yulu Mining Co., Ltd.;
3) Xianglushan Mine;
4) Xinzhou Mining Co., Ltd.; | RCOI confirmed as per RMI. | Excludes Covered Countries</t>
  </si>
  <si>
    <t>NA | Argentina, Australia, Austria, Belgium, Bolivia, Brazil, Cambodia, Canada, Chile, China, Colombia, Ivory Coast, Czech Republic, Djibouti, Ecuador, Egypt, Estonia, Ethiopia, France, Germany, Guyana, Hungary, India, Indonesia, Ireland, Israel, Japan, Kazakh | CAHRA Sourcing | China|1.China
2 China
3.China
4.China
5.China
6.China
7.Canada
8. China
9. China
10. Thailand
11.Russia|China, Canada for mine;
China for scrap.|China, Canada, Thailand, Russia | RCOI confirmed as per RMI. | Mineral sourcing LR based on RMAP-RMI's RCOI data | Excludes Covered Countries | Excludes Covered Countries and CAHRA</t>
  </si>
  <si>
    <t>Ariquemes, Rondônia</t>
  </si>
  <si>
    <t>recycled or scrap; | NA | RCOI confirmed as per RMI. | Not disclosed by supplier</t>
  </si>
  <si>
    <t>MALAYSIA; UNKNOWN; BRAZIL | NA | Myanmar, Cambodia, Malaysia, Kazakhstan, Portugal, Austria, Mongolia, Luxembourg, Republic Of Korea, Guyana, Brazil, Chile, Laos, Colombia, Ecuador, Argentina, Hungary, Japan, India, Canada, Belgium, Namibia, China, Peru, Ethiopia, Germany, Russia, Singap | RCOI confirmed as per RMI. | Mineral sourcing L1 based on RMAP-RMI's RCOI data | Excludes Covered Countries | Excludes Covered Countries and CAHRA</t>
  </si>
  <si>
    <t>São João Del Rei, Minas Gerais</t>
  </si>
  <si>
    <t>Some are recycled or scrap sourced but not all. | Some are recycled, scrap sourced but not all. | Some are recycled/scrap sourced but not all. | Recycled and scrap, and mines not disclosed by supplier</t>
  </si>
  <si>
    <t>UNKNOWN; BRAZIL | Some are recycled or scrap sourced but not all. | Argentina, Australia, Austria, Belgium, Bolivia, Brazil, Cambodia, Canada, Chile, China, Colombia, Ivory Coast, Czech Republic, Djibouti, Ecuador, Egypt, Estonia, Ethiopia, France, Germany, Guyana, Hungary, India, Indonesia, Ireland, Israel, Japan, Kazakh | Some are recycled/scrap sourced but not all. | Mineral sourcing L1,R/S based on RMAP-RMI's RCOI data | Excludes Covered Countries | Excludes Covered Countries and CAHRA</t>
  </si>
  <si>
    <t>RCOI confirmed as per RMI | Yunnan Gejiu Ore Zone | Yunnan Tin Company, Ltd. | Yunnan WuChang ping tin tin chenzhou mining and metallurgy co., LTD; Yunnan Tin Company Limited; Gejiu Laochang Tin Mine/  Song Shujiao Tin; Yunnan Tin Co., card room Branch Yunnan Tin Co., Ltd. Yunnan Tin tin Datun old factory branch(云南锡业股份有限公司卡房分公司 云南锡业 | Some are recycled, scrap, cover countries or DRC sourced but not all. | Nondisclosure | / | RCOI confirmed per RMI | Gejiu Laochang Tin Mine/Song Shujiao Tin | 0 | not recycle | 个旧市老厂锡矿/松脚锡矿
Lajiu tin mine / pine foot tin mine in Gejiu City | Yunnan Tin Company Limited | CHENZHOU YUNXIANG MINING&amp;SMELTING COMPANY LTD | Some are recycled/scrap sourced but not all. | From Gejiu Laochang Tin Mine, Song Shujiao Tin Mine</t>
  </si>
  <si>
    <t>RCOI confirmed as per RMI | China | CHINA; UNKNOWN | Some are recycled, scrap, cover countries or DRC sourced but not all. | Myanmar, China, USA, Malaysia, Bolivia, Canada, Belgium, Brazil, Australia, Peru, Ethiopia, Germany, Indonesia, DRC or an adjoining country (Covered Countries), Recycled/Scrap, | Nondisclosure | CHINA | RCOI confirmed per RMI | 0 | Not disclosed | Some are recycled/scrap sourced but not all. | Mineral sourcing L1,R/S, from China | Includes Covered Countries</t>
  </si>
  <si>
    <t>RCOI confirmed as per RMI | Geiju Mine; Concentrate Tin; CHINA|YUNNAN Gejiu; Yunnan Tin Mine; Gejiu Yunnan | NA | RCOI confirmed per RMI | 0 | not recycle | RCOI confirmed as per RMI. | From Gejiu datun</t>
  </si>
  <si>
    <t>RCOI confirmed as per RMI | CHINA; UNKNOWN | NA | China | Recycled/Scrap, Singapore, China, Myanmar, India, Brazil, USA | RCOI confirmed per RMI | 0 | Not disclosed | RCOI confirmed as per RMI. | Mineral sourcing L1, from China | Excludes Covered Countries | Excludes Covered Countries and CAHRA</t>
  </si>
  <si>
    <t>Some are recycled, scrap, covered countries or DRC sourced but not all. | White Solder; RCOI confirmed per RMI.; White Solder Metalugia e Mineracao LTDA; Ariquemes Rondonia region of Brazil; See Web Site &amp; Conflcit freehttp://www.whitesolder.com.br/index.php/en; Ariquemes, Rodovia; Private Mines in the Ariquemes Rondonia region | Private Mines in the Ariquemes Rondonia region of Brazil | NA | RCOI confirmed per RMI | RCOI confirmed as per RMI | Brazil (Ariquemes, Rodovia area) | RCOI confirmed as per RMI. | From private Mines in the Ariquemes Rondonia region of Brazil</t>
  </si>
  <si>
    <t>Some are recycled, scrap, covered countries or DRC sourced but not all. | UNKNOWN; BRAZIL | Brazil | China, Brazil, Thailand, Peru, Germany, Myanmar, Cambodia, Malaysia, Kazakhstan, Portugal, Mongolia, Austria, Luxembourg, Republic Of Korea, Guyana, Chile, Laos, Ecuador, Argentina, Hungary, Japan, India, Canada, Belgium, Namibia, Ethiopia, Russia, Burund | the DRC or an adjoining country(covered countries) | RCOI confirmed per RMI | RCOI confirmed as per RMI | Mine company | RCOI confirmed as per RMI. | Mineral sourcing L1, from Brazil | Excludes Covered Countries | Excludes Covered Countries and CAHRA</t>
  </si>
  <si>
    <t>Some are recycled or scrap sourced but not all. | Some are recycled/scrap sourced but not all. | Recycled and scrap, and mines not disclosed by supplier</t>
  </si>
  <si>
    <t>CHINA; UNKNOWN | Some are recycled or scrap sourced but not all. | Singapore, China, USA, Japan, Uzbekistan, United Kingdom, Malaysia, Bolivia, Switzerland, Canada, Belgium, South Africa, Mexico, Australia, Chile, Indonesia, Recycled/Scrap, Peru | Excludes Covered Countries | Some are recycled/scrap sourced but not all. | Mineral sourcing L1, R/S based on RMAP-RMI's RCOI data | Excludes Covered Countries and CAHRA</t>
  </si>
  <si>
    <t>Amphur Muang, Phuket</t>
  </si>
  <si>
    <t>RCOI confirmed as per RMI | Name of Mine(s) is as follows:Bluestone Mine Tasmania in Australia, Kalonta Mine in Dawei, Myanmar, Heinda Mine in Dawei, Myanmar,Panasqueira, Portugal, | Recycled, Scrap | Sub-Smelters in Indonesia; RCOI confirmed as per RMI PHUKET; PT.BBTS; Thailand-Mine; SMELTING AND REFINING CO; Thailand; Indonesia | Some are recycled, scrap, covered countries or DRC sourced but not all. | This column would be traced/certified by CFS program. | Nondisclosure | Tin Mine located at countries stated next cell (No Name of Tin Mine) | RCOI confirmed per RMI | RCOI confirmed as per CFSI | Compliant Tin Smelter  (list in CFS) | Thaisarco | Some are recycled/scrap, high risk countries, covered countries, and DRC sourced but not all. | From PT Sumber Jaya Indah,Bluestone Mine Tasmania,Kalonta Mine,Heinda Mines</t>
  </si>
  <si>
    <t>No | RCOI confirmed as per RMI | Level 1 countries i.e. Indonesia
South America, South East Asia countries
Level 3 countries i.e. DRC and
adjoined countries (including the Democratic Republic of the Congo (DRC), Rwanda, Uganda and Burundi | Recycled, Scrap | THAILAND; INDONESIA; RWANDA; UNKNOWN | Some are recycled, scrap, covered countries or DRC sourced but not all. | DRC or an adjoining country (Covered Countries), Rwanda, Indonesia, Recycled/Scrap, Thailand, Burundi, Uganda, Myanmar, Portugal, Morocco, Chile, Bolivia, Canada, Brazil, Malaysia, Poland, Peru, Australia, China, Japan, Thailand, Laos, Vietnam, | Indonesia
the DRC or adjoining country | DRC,Burundi,Rwanda,Uganda | Nondisclosure | Australia, Brazil, Bolivia, China, Laos, Myanmar, Morocco, Peru, Portugal, Vietnam, Rwanda and DRC | Covered Country Sourcing | the DRC or an adjoining country(covered countries) | Democratic Republic of  Congo and adjoining countries | RCOI confirmed per RMI | RCOI confirmed as per CFSI | Compliant Tin Smelter  (list in CFS) | THAILAND | Some are recycled/scrap, high risk countries, covered countries, and DRC sourced but not all. | Mineral sourcing LR, CC, HR, DRC, R/S from Australia, Brazil, Bolivia, China, Laos, Myanmar, Morocco, Peru, Portugal, Vietnam, Rwanda and DRC | Includes Covered Countries | Includes Covered Countries and CAHRA</t>
  </si>
  <si>
    <t>Bebedouro, São Paulo</t>
  </si>
  <si>
    <t>Some are recycled or scrap sourced but not all. | Some are recyled/scrap sourced but not all. | Recycled and scrap, and mines not disclosed by supplier</t>
  </si>
  <si>
    <t>Some are recycled or scrap sourced but not all. | UNKNOWN; BRAZIL | Recycled/Scrap, Austria, Bolivia, Brazil, Burundi, DRC or an adjoining country (Covered Countries), Ethiopia, India, Mozambique, Namibia, Nigeria, Rwanda, Sierra Leone, Zimbabwe, Myanmar, Cambodia, Malaysia, Kazakhstan, Portugal, Mongolia, Luxembourg, Rep | Some are recyled/scrap sourced but not all. | Mineral sourcing LR,R/S based on RMAP-RMI's RCOI data | Excludes Covered Countries | Excludes Covered Countries and CAHRA</t>
  </si>
  <si>
    <t>Taoyuan, Taoyuan</t>
  </si>
  <si>
    <t>RCOI confirmed as per RMI | scrap | Some are recycled, scrap, covered countries or DRC sourced but not all. | Some are recycled or scrap sourced but not all. | Nondisclosure | Scrap | RCOI confirmed per RMI | Recycled | recycled | NA | Some are recycled/scrap sourced but not all. | Recycled and scrap, and mines not disclosed by supplier</t>
  </si>
  <si>
    <t>RCOI confirmed as per RMI | scrap | Some are recycled, scrap, covered countries or DRC sourced but not all. | CHINA; UNKNOWN | Some are recycled or scrap sourced but not all. | Recycled/Scrap, Brazil, China, Japan, DRC or an adjoining country (Covered Countries), Indonesia | Nondisclosure | Scrap | RCOI confirmed per RMI | Recycled | recycled | NA | Some are recycled/scrap sourced but not all. | Mineral sourcing L1, R/S based on RMAP-RMI's RCOI data | Excludes Covered Countries | Excludes Covered Countries and CAHRA</t>
  </si>
  <si>
    <t>- | Pangkal Pinang, Bangka Island Indonesia</t>
  </si>
  <si>
    <t>- | Due diligence results pending | Indonesia</t>
  </si>
  <si>
    <t>Mentok, Kepulauan Bangka Belitung</t>
  </si>
  <si>
    <t>PT Timah (Persero), Tbk | RCOI confirmed as per RMI | Bangka &amp; Belitung Mines | PT Tambang Timah | Bangka Belitung Mines | BANGKA - BELITUNG ISLAND MINING AREA; PT TIMAH; PT Timah (Persero) Tbk Mentok; PT TIMAH (Persero) Tbk; Timah; KUNDUR ISLAND MINING AREA; RCOI confirmed per RMI.; Bangka &amp; Belitung Mines; Mentok, Bangka, Beiltung Islands, Indonesia; Bangka &amp; Belitung; Bang | Mentok, Bangka, Beiltung Islands, Indonesia | This column would be traced/certified by CFS program. | Nondisclosure | Indonesia | Bangka &amp; Belitung | Banka  &amp; Belitung Mines | RCOI confirmed per RMI | RCOI confirmed as per CFSI | PT Timah | South Kalimantan | RCOI confirmed as per RMI. | From Bangka, Mentok, Belitung Mines</t>
  </si>
  <si>
    <t>INDONESIA(BANKA) | No | Indonesia | Bangka, Indonesia | INDONESIA; UNKNOWN | Indonesia, Recycled/Scrap | This column would be traced/certified by CFS program. | Nondisclosure | CAHRA Sourcing | RCOI confirmed per RMI | RCOI confirmed as per CFSI | INDONESIA | RCOI confirmed as per RMI | RCOI confirmed as per RMI. | Mineral sourcing LR, from Indonesia | Excludes Covered Countries | Excludes Covered Countries and CAHRA</t>
  </si>
  <si>
    <t>Kundur, Riau</t>
  </si>
  <si>
    <t>RCOI confirmed as per RMI | PT Timah | Some are recycled or scrap sourced but not all. | PT Pimah; BANGKA - BELITUNG ISLAND MINING AREA; Kundur, Riau Islands, Indonesia; Kep. Riau &amp; Singkep Mines; Mining Concession (KP); Bangka - Belitung area; Kundur &amp; Singkep Mines; PT TIMAH (Persero) Tbk; PT Tambang Timah; PT Timah (Persero) Tbk Kundur; KU | Kundur, Riau Islands, Indonesia | Nondisclosure | Kep. Riau &amp; Singkep Mines | Tin Mine in Indonesia(No Name of Tin Mine) | Indonesia | Kundur &amp; Singkep Mines | RCOI confirmed per RMI | RCOI confirmed as per CFSI | RCOI confirmed as per RMI. | PT Timah (Persero) Tbk Kundur,Singkep,Riau Islands</t>
  </si>
  <si>
    <t>No | INDONESIA | RCOI confirmed as per RMI | Some are recycled or scrap sourced but not all. | INDONESIA; UNKNOWN | Indonesia | Indonesia, Brazil, Peru, Recycled/Scrap | Nondisclosure | CAHRA Sourcing | RCOI confirmed per RMI | RCOI confirmed as per CFSI | Recycled/Scrap Only | RCOI confirmed as per RMI. | Mineral sourcing LR, from Indonesia | Excludes Covered Countries | Excludes Covered Countries and CAHRA</t>
  </si>
  <si>
    <t>Pangkal Pinang,Kepulauan Bangka Belitung</t>
  </si>
  <si>
    <t>- | NA | Bangka - Belitung, 
Indonesia | RCOI confirmed as per RMI. | Not  disclosed by supplier</t>
  </si>
  <si>
    <t>- | NA | Indonesia | RCOI confirmed as per RMI. | Mineral sourcing L1 based on RMAP-RMI's RCOI data</t>
  </si>
  <si>
    <t>PT REFINED BANGKA TIN</t>
  </si>
  <si>
    <t>RCOI confirmed as per RMI | PT Refined Bangka Tin | Sungailiat, Bangka, Belitung; Bangka Island; BANGAKA TIN; INDONESIA; Tin Mine in Indonesia(No Name of Tin Mine); Nondisclosure; Indonesia | Tin Mine in Indonesia(No Name of Tin Mine) | Nondisclosure | RCOI confirmed per RMI | 0 | Sungailiat, Bangka, Belitung | RCOI confirmed as per RMI. | From Bangaka Tin</t>
  </si>
  <si>
    <t>RCOI confirmed as per RMI | Pulau Bangka, Bangka Belitung Islands | INDONESIA; UNKNOWN | Indonesia | Indonesia, Recycled/Scrap, Myanmar, Cambodia, Malaysia, Kazakhstan, Portugal, Austria, Mongolia, Luxembourg, Republic Of Korea, Brazil, Guyana, Chile, Laos, Ecuador, Colombia, Argentina, Hungary, Japan, India, Canada, Belgium, Namibia, China, Peru, German | Nondisclosure | CAHRA Sourcing | RCOI confirmed per RMI | L1 | INDONESIA | RCOI confirmed as per RMI. | Mineral sourcing LR, from Indonesia | Excludes Covered Countries | Excludes Covered Countries and CAHRA</t>
  </si>
  <si>
    <t>- | NA | a. Cloverdale, Western Australia, Australia | RCOI confirmed as per RMI. | Excludes Covered Countries</t>
  </si>
  <si>
    <t>- | NA | Australia | a. Cloverdale, Western Australia
Australia | RCOI confirmed as per RMI. | Mineral sourcing LR based on RMAP-RMI's RCOI data | Excludes Covered Countries | Excludes Covered Countries and CAHRA</t>
  </si>
  <si>
    <t>Some are recycled or scrap sourced but not all. | 0; Ore (nameless a mine) in Indonesia; Indonnesia | Blok Mapur-Cit, Blok Bemban Utara, Blok Kepuh Utara | NA | Tin Mine in Indonesia(No Name of Tin Mine) | RCOI confirmed as per RMI | RCOI confirmed as per RMI. | From Blok Mapur-Cit, Blok Bemban Utara, Blok Kepuh Utara</t>
  </si>
  <si>
    <t>Some are recycled or scrap sourced but not all. | INDONESIA; UNKNOWN | Kab. Bangka, Indonesia/ Kab. Bangka Tengah, Indonesia | NA | Indonesia, Recycled/Scrap, Chile, Mexico, Myanmar, Cambodia, Malaysia, Kazakhstan, Portugal, Mongolia, Austria, Luxembourg, Republic Of Korea, Brazil, Guyana, Laos, Colombia, Ecuador, Argentina, Hungary, Japan, India, Canada, Belgium, Namibia, China, Peru | CAHRA Sourcing | Indonesia | RCOI confirmed as per RMI | Kab. Bangka, Indonesia/ Kab. 
Bangka Tengah, Indonesia | RCOI confirmed as per RMI. | Mineral sourcing LR from Kab. Bangka, Indonesia/ Kab. Bangka Tengah, Indonesia | Excludes Covered Countries | Excludes Covered Countries and CAHRA</t>
  </si>
  <si>
    <t>Badau, Kepulauan Bangka Belitung</t>
  </si>
  <si>
    <t>- | Some are sourced from cover countries and DRC but not all. | NA | RCOI confirmed as per RMI. | Excludes Covered Countries</t>
  </si>
  <si>
    <t>- | Some are sourced from cover countries and DRC but not all. | NA | Brazil, China, Indonesia, Recycled/Scrap | RCOI confirmed as per RMI. | Mineral sourcing LR based on RMAP-RMI's RCOI data | Excludes Covered Countries | Excludes Covered Countries and CAHRA</t>
  </si>
  <si>
    <t>RCOI confirmed per RMI.; PT Artha Cipta Langgeng | NA | RCOI confirmed as per RMI. | From Sungailiat</t>
  </si>
  <si>
    <t>INDONESIA; UNKNOWN | NA | Indonesia, Myanmar, Cambodia, Malaysia, Kazakhstan, Portugal, Mongolia, Austria, Luxembourg, Republic Of Korea, Guyana, Brazil, Chile, Laos, Colombia, Ecuador, Argentina, Hungary, Japan, India, Canada, Belgium, Namibia, China, Peru, Germany, Ethiopia, Rus | CAHRA Sourcing | RCOI confirmed as per RMI. | Mineral sourcing LR from Bangka | Excludes Covered Countries | Excludes Covered Countries and CAHRA</t>
  </si>
  <si>
    <t>Oruro, Oruro</t>
  </si>
  <si>
    <t>RCOI confirmed as per RMI | RCOI confirmed as per CFSI | Bolivia  State owned &amp; Private Mines | NA | This column would be traced/certified by CFS program. | RCOI confirmed per RMI | Oruro, Oruro, Bolivia | RCOI confirmed as per RMI. | Not disclosed by supplier</t>
  </si>
  <si>
    <t>No | RCOI confirmed as per RMI | RCOI confirmed as per CFSI | INDONESIA; BOLIVIA (PLURINATIONAL STATE OF); UNKNOWN; BOLIVIA | NA | Bolivia, Indonesia, China, Recycled/Scrap | This column would be traced/certified by CFS program. | Bolivia | RCOI confirmed per RMI | Oruro, Oruro, Bolivia | RCOI confirmed as per RMI. | Mineral sourcing LR from Bolivia | Excludes Covered Countries | Excludes Covered Countries and CAHRA</t>
  </si>
  <si>
    <t>Sriracha, Chon Buri</t>
  </si>
  <si>
    <t>Sriracha</t>
  </si>
  <si>
    <t>Some are recycled, scrap, covered countries or DRC sourced but not all. | THAILAND; UNKNOWN | Recycled, Scrap | Thailand, China, DRC or an adjoining country (Covered Countries), Recycled/Scrap, DRC or an adjoining country (Covered Countries), Netherlands, Philippines, USA, Vietnam, Brazil | Recycled | Recyled/Scrap | Mineral sourcing R/S based on RMAP-RMI's RCOI data | Recycled/Scrap Only</t>
  </si>
  <si>
    <t>Some are recycled or scrap sourced but not all. | JAPAN; UNKNOWN | Myanmar, Cambodia, Malaysia, Kazakhstan, Portugal, Austria, Mongolia, Luxembourg, Republic Of Korea, Brazil, Guyana, Chile, Laos, Ecuador, Colombia, Argentina, Hungary, Japan, India, Canada, Belgium, Namibia, China, Peru, Germany, Ethiopia, Russia, Vietna | Includes Covered Countries | Some are recycled/scrap sourced but not all. | Mineral sourcing L1, R/S based on RMAP-RMI's RCOI data | Excludes Covered Countries | Excludes Covered Countries and CAHRA</t>
  </si>
  <si>
    <t>Recycled | scrap | BANGAKA TIN; PT.TIMAH | NA | Nondisclosure | Recycled, Scrap | Recycled scrap material | RCOI confirmed as per RMI | Recyled, Scrap | Recycle|Confidential|Recycled | Recyled/Scrap</t>
  </si>
  <si>
    <t>Yes | scrap | INDONESIA; JAPAN; UNKNOWN | NA | Recycled | China, Indonesia, Papua New Guinea, Australia, Argentina, Chile, Peru, Canada, Recycled/Scrap, Japan | Nondisclosure | recycled | R/S | Recycled scrap material | Includes Covered Countries | RCOI confirmed as per RMI | Recyled, Scrap | Recycle|China|Recycled | Recyled/Scrap | Mineral sourcing R/S based on RMAP-RMI's RCOI data | Recycled/Scrap Only</t>
  </si>
  <si>
    <t>Paracas, Ika</t>
  </si>
  <si>
    <t>RCOI confirmed as per RMI | San Rafael Mine | Paracas , Ica; Funsur; Fundición Pisco; Minsur-Mine; San Rafael, Puno; RCOI confirmed as per RMI; San Rafael; Huanui Tin Mining and Colquiri Tin Mining; RCOI confirmed as per CFSI; Minsur; Tin Mine located in Puno region in the eastern cordillera of the A | San Rafael, Puno - Peru | This column would be traced/certified by CFS program. | Tin Mine located in Puno region in the eastern cordillera of the Andes | RCOI confirmed per RMI | RCOI confirmed as per CFSI | Compliant Tin Smelter  (list in CFS) | Paracas, Ica, Perú | RCOI confirmed as per RMI. | From San Rafael, Puno, Tin Mine located in Puno region in the eastern cordillera of the Andes</t>
  </si>
  <si>
    <t>No | RCOI confirmed as per RMI | Peru | UNKNOWN; PERU; BOLIVIA | Puno - Peru | Peru, China, Thailand, Malaysia, Recycled/Scrap, Myanmar, Cambodia, Kazakhstan, Portugal, Mongolia, Austria, Luxembourg, Guyana, Republic Of Korea, Brazil, Chile, Laos, Ecuador, Colombia, Argentina, Hungary, Japan, India, Canada, Belgium, Namibia, Ethiopi | This column would be traced/certified by CFS program. | RCOI confirmed per RMI | RCOI confirmed as per CFSI | Recycled/Scrap Only | Compliant Tin Smelter  (list in CFS) | Paracas, Ica, Perú | RCOI confirmed as per RMI. | Mineral sourcing L1, from Peru | Excludes Covered Countries | Excludes Covered Countries and CAHRA</t>
  </si>
  <si>
    <t>Bairro Guarapiranga, Pirapora do Bom Jesus City, São Paulo</t>
  </si>
  <si>
    <t>Bairro Guarapiranga, Pirapora do Bom Jesus City</t>
  </si>
  <si>
    <t>RCOI confirmed as per RMI | RCOI confirmed as per CFSI | From Pitinga, Minercoa Tabboca, A&amp;IR MINING; Tin Mine in Brazil; Mineração Taboca S.A. , Brazil; Pitinga; Patinga- Amazonas, Brazil | NA | This column would be traced/certified by CFS program. | This column would be traced/certified by RMA program. | RCOI confirmed per RMI | Pitinga | Minercoa Tabboca | RCOI confirmed as per RMI. | From Minerarco Pitinga</t>
  </si>
  <si>
    <t>No | RCOI confirmed as per RMI | RCOI confirmed as per CFSI | UNKNOWN; BRAZIL | NA | Brazil, Thailand, China, Argentina, Australia, Austria, Belgium, Bolivia, Cambodia, Canada, Chile, Colombia, Ivory Coast, Czech Republic, Djibouti, Ecuador, Egypt, Estonia, Ethiopia, France, Germany, Guyana, Hungary, India, Indonesia, Ireland, Israel, Jap | This column would be traced/certified by CFS program. | Brazil | This column would be traced/certified by RMA program. | RCOI confirmed per RMI | Excludes Covered Countries | Sao Paulo Brazil | RCOI confirmed as per RMI. | Mineral sourcing L1 from Brazil | Excludes Covered Countries and CAHRA</t>
  </si>
  <si>
    <t>Twinsburg, Ohio</t>
  </si>
  <si>
    <t>Recycled scrap material | Some are recycled, scrap, covered countries or DRC sourced but not all. | RCOI confirmed per RMI | scrap and recycling | Some are recyled/scrap sourced but not all. | Recycled and scrap, and mines not disclosed by supplier</t>
  </si>
  <si>
    <t>Recycled scrap material | Some are recycled, scrap, covered countries or DRC sourced but not all. | UNITED STATES; UNKNOWN | USA, Recycled/Scrap | RCOI confirmed per RMI | Includes Covered Countries | scrap and recycling | Some are recyled/scrap sourced but not all. | Mineral sourcing LR,R/S based on RMAP-RMI's RCOI data | Excludes Covered Countries | Excludes Covered Countries and CAHRA</t>
  </si>
  <si>
    <t>Butterworth, Pulau Pinang</t>
  </si>
  <si>
    <t>RCOI confirmed as per RMI | owened by Malaysia Smelting Corporation Berhad | RAHMAN HYDRAULIC TIN SDN BHD | Rahman Hydraulic Tin Sdn Bhd. , etc. | RHT, Alphamin, Artisanal Mining, Recycle | Some are recycled, scrap, covered countries or DRC sourced but not all. | NO; Information not provided by smelter; owened by Malaysia Smelting Corporation Berhad; Malaysia Smelting Corporation (MSC); RCOI confirmed as per RMI owened by Malaysia Smelting Corporation Berhad; Malaysia Smelting Corporation Bhd.; RCOI confirmed as p | This column would be traced/certified by CFS program. | Nondisclosure | Tin Mine in Indonesia(No name of Tin Mine), Australia and Central Africa(Rwanda and the southern Katanga Province of the DRC that is not within the recognised conflict areas  of Eastern DRC.) | RCOI confirmed per RMI | RCOI confirmed as per CFSI | Rahman Hydraulic Tin Sdn. Bhd. | Not disclosed | Minsur (San Rafael) (Compliant Tin Smelter (list in CFS)) | Some are recycled/scrap, covered countries and DRC sourced but not all. | From Rahman Hydraulic Tin Sdn. Bhd. and various mines</t>
  </si>
  <si>
    <t>No | MALAYSIA | Malaysia.Rwanda  the southern Katanga Province of the DRC that is not within the recognised conflict areas of Eastern DRC. | Congo，Malaysia，Rwanda | Malaysia, DRC, DRC/Rwanda/Nigeria, USA/Viet Nam/Malaysia | Some are recycled, scrap, covered countries or DRC sourced but not all. | MALAYSIA; CHINA; RWANDA; UNKNOWN | Rwanda, Malaysia, China, DRC or an adjoining country (Covered Countries), Burundi, Uganda, Recycled/Scrap, Indonesia, Australia, Peru, Angola, Myanmar, Angola, Cambodia, Kazakhstan, Austria, Mongolia, Mozambique, Luxembourg, Republic Of Korea, Guyana, Lao | the DRC or adjoining country | DRC,Burundi,Rwanda,Uganda | Nondisclosure | RCOI confirmed as per RMI | Indonesia, Australia and Central Africa (Rwanda and the DRC) | Covered Country Sourcing | the DRC or an adjoining country(covered countries) | Democratic Republic of  Congo and adjoining countries | Malaysia | RCOI confirmed per RMI | RCOI confirmed as per CFSI | Excludes Covered Countries | This column would be traced/certified by CFS program. | Not disclosed | Puno, Peru (Compliant Tin Smelter (list in CFS)) | Some are recycled/scrap, covered countries and DRC sourced but not all. | Mineral sourcing L1, CC, DRC, R/S from Burundi,Rwanda,Uganda,Malaysia,Indonesia,Australia | Includes Covered Countries</t>
  </si>
  <si>
    <t>Laibin, Guangxi Zhuangzu Zizhiqu</t>
  </si>
  <si>
    <t>laibin; owened by Malaysia Smelting Corporation Berhad; Guangxi Dachang Mine; Recycled | NA | Some are recycled or scrap sourced but not all. | 0 | Liuzhou China Tin | Some are recyled/scrap sourced but not all. | From Laibin &amp; Liuzhou China</t>
  </si>
  <si>
    <t>CHINA; MALAYSIA; UNKNOWN | China | Some are recycled or scrap sourced but not all. | China, Recycled/Scrap, Malaysia, Mexico, Russia, DRC or an adjoining country (Covered Countries), Switzerland, USA, Indonesia, Bolivia, Canada, Brazil, Australia, Japan | Excludes Covered Countries | - | CHINA | Some are recyled/scrap sourced but not all. | Mineral sourcing LR, R/S from China | Excludes Covered Countries and CAHRA</t>
  </si>
  <si>
    <t>NA | RCOI confirmed per RMI | RCOI confirmed as per RMI. | Not disclosed by supplier</t>
  </si>
  <si>
    <t>CHINA; UNKNOWN | NA | China, Recycled/Scrap, Indonesia, Brazil, Malaysia | RCOI confirmed per RMI | RCOI confirmed as per RMI. | Mineral sourcing LR based on RMAP-RMI's RCOI data | Excludes Covered Countries | Excludes Covered Countries and CAHRA</t>
  </si>
  <si>
    <t>Some are recycled, scrap, covered countries or DRC sourced but not all. | Yunnan Gejiu; Gejiu Zili Mining&amp;Smelting Co., Ltd. | NA | RCOI confirmed as per RMI. | Not disclosed by supplier</t>
  </si>
  <si>
    <t>Some are recycled, scrap, covered countries or DRC sourced but not all. | CHINA; UNKNOWN | NA | China, Brazil, Indonesia, Recycled/Scrap, Bolivia, USA | RCOI confirmed as per RMI. | Mineral sourcing L1 based on RMAP-RMI's RCOI data | Excludes Covered Countries | Excludes Covered Countries and CAHRA</t>
  </si>
  <si>
    <t>RCOI confirmed as per RMI | Yunnan Gejiu | Some are recycled or scrap sourced but not all. | Gejiu Non-Ferrous Metal Processing Co., Ltd.; Yunnan Tin Group (Holding) Company Limited; Nandan; Not DRC; Obtained a declaration  letter form the smelter.; Concentrate Tin; Mines in Gejiu &amp; Yunnan; Gejiu &amp; Yunnan China; /; n.a.; Gejiu Yunnan | NA | RCOI confirmed per RMI | China | Compliant Tin Smelter  (list in CFS) | Gejiu &amp; Yunnan China | RCOI confirmed as per RMI. | From Gejiu,Yunnan</t>
  </si>
  <si>
    <t>No | China | Some are recycled or scrap sourced but not all. | CHINA; UNKNOWN | NA | Myanmar, Cambodia, Malaysia, Kazakhstan, Portugal, Mongolia, Austria, Luxembourg, Guyana, Republic Of Korea, Brazil, Chile, Laos, Ecuador, Colombia, Argentina, Hungary, Japan, India, Canada, Belgium, Namibia, China, Peru, Germany, Ethiopia, Russia, Vietna | RCOI confirmed per RMI | RCOI confirmed as per RMI. | Mineral sourcing L1, from China | Excludes Covered Countries | Excludes Covered Countries and CAHRA</t>
  </si>
  <si>
    <t>Chmielów, Podkarpackie</t>
  </si>
  <si>
    <t>NA | Recyled, Scrap | Not disclosed | Some are recyled/scrap sourced but not all. | Recycled and scrap, and mines not disclosed by supplier</t>
  </si>
  <si>
    <t>NA | Poland, Bolivia, Recycled/Scrap, China, Brazil, Australia, Kazakhstan, Peru, Indonesia | Excludes Covered Countries | Recyled, Scrap | China | Some are recyled/scrap sourced but not all. | Mineral sourcing LR, R/S based on RMAP-RMI's RCOI data | Excludes Covered Countries and CAHRA</t>
  </si>
  <si>
    <t>Some are recycled or scrap sourced but not all. | NA | Bolivia  State owned &amp; Private Mines | RCOI confirmed as per RMI. | From Bolivia State owned &amp; Private Mines</t>
  </si>
  <si>
    <t>Some are recycled or scrap sourced but not all. | Bolivia | Bolivia, Brazil, China, Canada, Indonesia, Malaysia, Peru, Recycled/Scrap, DRC or an adjoining country (Covered Countries), Myanmar, Cambodia, Kazakhstan, Portugal, Austria, Mongolia, Luxembourg, Guyana, Republic Of Korea, Chile, Laos, Colombia, Ecuador,  | NA | RCOI confirmed as per RMI. | Mineral sourcing L1 from Bolivia | Excludes Covered Countries | Excludes Covered Countries and CAHRA</t>
  </si>
  <si>
    <t>Some are sourced from covered countries or DRC but not all. | scrap | Recycled | recycled | Recyled/Scrap | Recycled, Scrap</t>
  </si>
  <si>
    <t>Some are sourced from covered countries or DRC but not all. | scrap | Recycled/Scrap | Recycled | recycled | Excludes Covered Countries | Recyled/Scrap | Mineral sourcing R/S based on RMAP-RMI's RCOI data | Recycled/Scrap Only</t>
  </si>
  <si>
    <t>Pemali,Kepulauan Bangka Belitung</t>
  </si>
  <si>
    <t>Altoona, Pennsylvania</t>
  </si>
  <si>
    <t>Some are recycled, scrap, covered countries or DRC sourced but not all. | Recycled | NA | Some are recyled/scrap sourced but not all. | Recycled and scrap, and mines not disclosed by supplier</t>
  </si>
  <si>
    <t>Some are recycled, scrap, covered countries or DRC sourced but not all. | UNITED STATES; UNITED STATES OF AMERICA; UNKNOWN | Myanmar, Cambodia, Malaysia, Kazakhstan, Portugal, Austria, Mongolia, Luxembourg, Republic Of Korea, Brazil, Guyana, USA, Chile, Laos, Colombia, Ecuador, Argentina, Hungary, Japan, India, Canada, Belgium, Namibia, China, Peru, Ethiopia, Germany, Russia, S | Not coverd countries area | Excludes Covered Countries | NA | Some are recyled/scrap sourced but not all. | Mineral sourcing LR, R/S | Includes Covered Countries | Includes Covered Countries and CAHRA</t>
  </si>
  <si>
    <t>Chenzhou, Hunan Sheng</t>
  </si>
  <si>
    <t>Some are recycled, scrap, covered countries or DRC sourced but not all. | Hunan Chenzhou | Some are recycled or scrap sourced but not all. | Some are recycled/scrap sourced but not all. | Recycled and scrap, and mines not disclosed by supplier</t>
  </si>
  <si>
    <t>Some are recycled, scrap, covered countries or DRC sourced but not all. | CHINA; UNKNOWN | Some are recycled or scrap sourced but not all. | China, Recycled/Scrap, Vietnam,  Indonesia, Vietnam | Some are recycled/scrap sourced but not all. | Mineral sourcing L1, R/S from China | Excludes Covered Countries | Excludes Covered Countries and CAHRA</t>
  </si>
  <si>
    <t>PT Babel Inti Perkasa</t>
  </si>
  <si>
    <t>Lintang, Kepulauan Bangka Belitung</t>
  </si>
  <si>
    <t>Lintang</t>
  </si>
  <si>
    <t>- | RCOI confirmed as per RMI.</t>
  </si>
  <si>
    <t>PT Bukit Timah</t>
  </si>
  <si>
    <t>PT Sariwiguna Binasentosa</t>
  </si>
  <si>
    <t>TIN ORE from mining concession in Bangka Belitung Province</t>
  </si>
  <si>
    <t>PT Sukses Inti Makmur</t>
  </si>
  <si>
    <t>Sungai Samak,Kepulauan Bangka Belitung</t>
  </si>
  <si>
    <t>Sungai Samak</t>
  </si>
  <si>
    <t>Fangliao, Pingtung</t>
  </si>
  <si>
    <t>Recycled, Scrap | Due diligence results pending | Recyled/Scrap | Mineral sourcing R/S based on RMAP-RMI's RCOI data | Recycled/Scrap Only</t>
  </si>
  <si>
    <t>Longyan, Fujian Sheng</t>
  </si>
  <si>
    <t>Not disclosed by supplier | NA | RCOI confirmed as per RMI. | Excludes Covered Countries</t>
  </si>
  <si>
    <t>Mineral sourcing LR based on RMAP-RMI's RCOI data | NA | Due diligence results pending | RCOI confirmed as per RMI. | Excludes Covered Countries</t>
  </si>
  <si>
    <t>Siheung-si, Gyeonggi-do</t>
  </si>
  <si>
    <t>Roshal, Moskovskaja oblast'</t>
  </si>
  <si>
    <t>NA | Russia | RCOI confirmed as per RMI. | Mineral sourcing not disclosed</t>
  </si>
  <si>
    <t>Araçariguama, São Paulo</t>
  </si>
  <si>
    <t>NA | Brazil, Japan | RCOI confirmed as per RMI. | Mineral sourcing L1 based on RMAP-RMI's RCOI data | Excludes Covered Countries | Excludes Covered Countries and CAHRA</t>
  </si>
  <si>
    <t>NA | China, Thailand | RCOI confirmed as per RMI. | Mineral sourcing not disclosed</t>
  </si>
  <si>
    <t>Marilao, Bulacan</t>
  </si>
  <si>
    <t>Recycled, Scrap | Recycled/Scrap, Philippines | Recyled/Scrap | Mineral sourcing R/S based on RMAP-RMI's RCOI data | Recycled/Scrap Only</t>
  </si>
  <si>
    <t>Unecha, Bryanskaya oblast'</t>
  </si>
  <si>
    <t>Some are recycled or scrap sourced but not all. | Some are recycled/scrap sourced but not all. | Recycled, Scrap and mines not disclosed by supplier</t>
  </si>
  <si>
    <t>Some are recycled or scrap sourced but not all. | Recycled/Scrap, Russia, USA | Some are recycled/scrap sourced but not all. | Mineral sourcing L1, R/S based on RMAP-RMI's RCOI data | Excludes Covered Countries | Excludes Covered Countries and CAHRA</t>
  </si>
  <si>
    <t>Nalchik, Kabardino-Balkarskaya Respublika</t>
  </si>
  <si>
    <t>Some are recycled or scrap sourced but not all. | RCOI confirmed per RMI | 0 | Some are recyled/scrap, TI-CMC sourced but not all. | Recycled, Scrap and mines not disclosed by supplier</t>
  </si>
  <si>
    <t>Some are recycled or scrap sourced but not all. | DRC or an adjoining country (Covered Countries), Myanmar, Cambodia, Malaysia, Kazakhstan, Portugal, Austria, Mongolia, Luxembourg, Guyana, Brazil, Republic Of Korea, Chile, Laos, Ecuador, Argentina, Hungary, Japan, India, Canada, Belgium, Namibia, China,  | RCOI confirmed per RMI | 0 | Some are recyled/scrap, TI-CMC sourced but not all. | Mineral sourcing R/S and Mined based on RMAP-RMI's RCOI data</t>
  </si>
  <si>
    <t>Some are recycled or scrap sourced but not all. | RCOI confirmed as per RMI. | Recycled, Scrap and mines not disclosed by supplier</t>
  </si>
  <si>
    <t>Some are recycled or scrap sourced but not all. | China, DRC or an adjoining country (Covered Countries), Canada, Russia, Mozambique, Brazil, Thailand, Australia | RCOI confirmed as per RMI. | Mineral sourcing LR based on RMAP-RMI's RCOI data | Excludes Covered Countries | Excludes Covered Countries and CAHRA</t>
  </si>
  <si>
    <t>Luoyang, Henan Sheng</t>
  </si>
  <si>
    <t>Depew, New York</t>
  </si>
  <si>
    <t>Some are recycled or scrap sourced but not all. | RCOI confirmed per RMI | Some are recycled, scrap or cover countries sourced but not all. | Some are recyled/scrap, TI-CMC sourced but not all. | Recycled, Scrap and mines not disclosed by supplier</t>
  </si>
  <si>
    <t>Some are recycled, scrap or covered countries sourced but not all. | Myanmar, Cambodia, Malaysia, Kazakhstan, Portugal, Austria, Mongolia, Luxembourg, Republic Of Korea, Guyana, Brazil, Chile, Laos, Ecuador, Colombia, Argentina, Hungary, Japan, India, Canada, Belgium, Namibia, China, Peru, Germany, Ethiopia, Russia, Vietna | RCOI confirmed per RMI | Some are recycled, scrap or cover countries sourced but not all. | Some are recyled/scrap, TI-CMC sourced but not all. | Mineral sourcing R/S and Mined based on RMAP-RMI's RCOI data</t>
  </si>
  <si>
    <t>Jiangwu H.C. Starck Tungsten Products Co,.Ltd. | RCOI confirmed per RMI | RCOI confirmed as per RMI. | From Jiangwu H.C. Starck Tungsten Products Co,.Ltd.</t>
  </si>
  <si>
    <t>China | China, Japan, USA, Recycled/Scrap | RCOI confirmed per RMI | Recycled/Scrap Only | RCOI confirmed as per RMI. | Mineral sourcing from China</t>
  </si>
  <si>
    <t>Dai Tu, Thái Nguyên</t>
  </si>
  <si>
    <t>Some are recycled, scrap or covered countries sourced but not all. | RCOI confirmed per RMI | Some are recycled, scrap or cover countries sourced but not all. | Some are recycled/ scrap, high risk countries, covered countries sourced but not all | Recycled, Scrap and mines not disclosed by supplier</t>
  </si>
  <si>
    <t>Some are recycled, scrap or covered countries sourced but not all. | Recycled/Scrap, Myanmar, Cambodia, Malaysia, Kazakhstan, Portugal, Austria, Mongolia, Luxembourg, Guyana, Republic Of Korea, Brazil, Chile, Laos, Colombia, Ecuador, Argentina, Hungary, Japan, India, Canada, Belgium, Namibia, China, Peru, Germany, Ethiopia | RCOI confirmed per RMI | Some are recycled, scrap or cover countries sourced but not all. | Some are recycled/ scrap, high risk countries, covered countries sourced but not all | Mineral sourcing HR, CC, R/S based on RMAP-RMI's RCOI data | Includes Covered Countries | Includes Covered Countries and CAHRA</t>
  </si>
  <si>
    <t>Some are recycled, scrap or covered countries sourced but not all. | Some are recycled, scrap or cover countries sourced but not all. | Some are recyled/scrap, TI-CMC sourced but not all. | Recycled, Scrap and mines not disclosed by supplier</t>
  </si>
  <si>
    <t>Some are recycled, scrap or covered countries sourced but not all. | Recycled/Scrap, Australia, Bolivia, Brazil, Burundi, DRC or an adjoining country (Covered Countries), Ethiopia, India, Mozambique, Namibia, Nigeria, Rwanda, Sierra Leone, Zimbabwe, Argentina, Austria, Belgium, Cambodia, Canada, Chile, China, Colombia, Ivo | Some are recycled, scrap or cover countries sourced but not all. | Some are recyled/scrap, TI-CMC sourced but not all. | Mineral sourcing R/S and Mined not disclosed | Includes Covered Countries | Includes Covered Countries and CAHRA</t>
  </si>
  <si>
    <t>Raw material is sourced from multiple conflict-free mines globally. Industry standard traceability schemes and other information sources are utilzed. Names and locations of all mines are disclosed to the auditor during the CSI audit. | Some are recycled or scrap sourced but not all. | RCOI confirmed per RMI | Mines and recycled scrap | Some are recyled/scrap, TI-CMC sourced but not all. | Recycled, Scrap and mines not disclosed by supplier</t>
  </si>
  <si>
    <t>Australia, Bolivia, Canada, Portugal, Russia, Spain, Vietnam | Some are recycled or scrap sourced but not all. | Recycled/Scrap, Australia, Bolivia, Canada, Portugal, Russia, Spain, Vietnam,  Myanmar, Cambodia, Malaysia, Kazakhstan, Austria, Mongolia, Mozambique, Luxembourg, Brazil, Republic Of Korea, Guyana, Chile, Laos, Colombia, Ecuador, Argentina, Hungary, Japan | Not coverd countries area | RCOI confirmed per RMI | Recycled/Scrap Only | Australia, Bolivia, Canada, 
Portugal, Russia, Spain, Vietnam | Some are recyled/scrap, TI-CMC sourced but not all. | Mineral sourcing R/S and Mined  from Australia, Bolivia, Canada, Portugal, Russia, Spain, Vietnam.</t>
  </si>
  <si>
    <t>Chenzhou Diamond Tungsten Products Co.,Ltd. | RCOI confirmed per RMI | Some are recycled or scrap sourced but not all. | 0 | RCOI confirmed as per RMI. | Recycled, Scrap and mines not disclosed by supplier</t>
  </si>
  <si>
    <t>China | China, Recycled/Scrap, Myanmar, Cambodia, Malaysia, Kazakhstan, Portugal, Austria, Mongolia, Luxembourg, Republic Of Korea, Guyana, Brazil, Chile, Laos, Ecuador, Colombia, Argentina, Hungary, Japan, India, Canada, Belgium, Namibia, Peru, Ethiopia, Germany | RCOI confirmed per RMI | Some are recycled or scrap sourced but not all. | Excludes Covered Countries | - | RCOI confirmed as per RMI. | Mineral sourcing from China</t>
  </si>
  <si>
    <t>Vinh Bao District, Hai Phong</t>
  </si>
  <si>
    <t>Some are sourced from DRC but not all. | Some are covered countries and DRC sourced but not all.</t>
  </si>
  <si>
    <t>Some are sourced from DRC but not all. | Myanmar, Angola, Cambodia, Malaysia, Kazakhstan, Portugal, Austria, Mongolia, Luxembourg, Brazil, Guyana, Republic Of Korea, Chile, Laos, Ecuador, Colombia, Argentina, South Sudan, Hungary, Japan, Tanzania, Zambia, DRC or an adjoining country (Covered Cou | Covered Country Sourcing | Some are covered countries and DRC sourced but not all. | Mineral sourcing L1, CC, DRC based on RMAP-RMI's RCOI data | Includes Covered Countries</t>
  </si>
  <si>
    <t>Ganzhou Grand Metals Minerals Industry Co,.Ltd. | Ganzhou Grand Metals Minerals Industry Co,.Ltd., Dapengshan | 1. Ganzhou Grand Metals Minerals Industry Co,.Ltd.
2. Ganzhou Haixin Tungsten Product Ltd | RCOI confirmed per RMI | Dapengshan Mining, Simaoao Mining, Piqiaokeng Mining, Ganzhou Grand Sea Metals Minerals Industry  W&amp;Mo Co,.Ltd. | 1. Dapengshan 2. Ganzhou Grand Sea Metals Minerals Industry  W&amp;Mo Co,.Ltd. | Dapengshan | Recycled | RCOI confirmed as per RMI. | From Ganzhou Grand Metals Minerals Industry Co,.Ltd.and Ganzhou Haixin Tungsten Product Ltd</t>
  </si>
  <si>
    <t>CHINA | China | Myanmar, Cambodia, Malaysia, Kazakhstan, Portugal, Austria, Mongolia, Luxembourg, Republic Of Korea, Brazil, Guyana, Chile, Laos, Ecuador, Colombia, Argentina, Hungary, Japan, India, Canada, Belgium, Namibia, China, Peru, Ethiopia, Germany, Russia, Singap | RCOI confirmed per RMI | Recycled | RCOI confirmed as per RMI. | Mineral sourcing from China</t>
  </si>
  <si>
    <t>Xiushui, Jiangxi Sheng</t>
  </si>
  <si>
    <t>NA | RCOI confirmed per RMI | 0 | RCOI confirmed as per RMI. | Not disclosed by supplier</t>
  </si>
  <si>
    <t>NA | Myanmar, Cambodia, Malaysia, Kazakhstan, Portugal, Mongolia, Austria, Luxembourg, Guyana, Republic Of Korea, Brazil, Chile, Laos, Ecuador, Argentina, Hungary, Japan, India, Canada, Belgium, Namibia, China, Peru, Ethiopia, Germany, Russia, Vietnam, USA, Eg | RCOI confirmed per RMI | 0 | RCOI confirmed as per RMI. | Mineral sourcing not disclosed</t>
  </si>
  <si>
    <t>Xiamen, Fujian Sheng</t>
  </si>
  <si>
    <t>A&amp;IR MINING | A&amp;IR MINING, NORTH AMERICAN TUNGSTEN CORP.LTD | NORTH AMERICAN TUNGSTEN CORP.LTD; Yulu; unknown | RCOI confirmed per RMI | Some are recycled, scrap, cover countries or DRC sourced but not all. | NORTH AMERICAN TUNGSTEN CORP.LTD. | 1. A&amp;IR MINING
2. NORTH AMERICAN TUNGSTEN CORP.LTD | Yulu | (1) NingHua Xingluokeng Tungsten Mining Co. Ltd._x000D_
(2) Luokeng Mine Luoyang Yulu Mining Co., Ltd._x000D_
(3) Zijin Mining Group Co., Ltd._x000D_
(4) Xinzhou Mining Co., Ltd._x000D_
(5) Xianglushan Mine_x000D_
(6) A&amp;IR MINING JSC _x000D_
(7) NORTH AMERICAN TUNSTEN COPR.LTD. | Some are recyled/scrap,covered countries, DRC sourced and TI-CMC sourced but not all. | Recycled anf mines from NingHua XingLuoKeng Tungsten Mining Co., Ltd, A&amp;IR MINING, NORTH AMERICAN TUNGSTEN CORP.LTD, Yulu</t>
  </si>
  <si>
    <t>Russia | Russia, Canada | CANADA; CHINA; UNKNOWN | China, Recycled/Scrap, Russia, Canada, Thailand, DRC or an adjoining country (Covered Countries), Burundi, Rwanda, Niger, Malaysia, Bolivia, Spain, Brazil, Mexico, Australia, Nigeria, USA, Vietnam,  Ethiopia | DRC,Burundi,Rwanda | ,Russia
Canada | Covered Country Sourcing | the DRC or an adjoining country(covered countries) | RCOI confirmed per RMI | Some are recycled, scrap, cover countries or DRC sourced but not all. | Canada
Russia | China | (1)~(5): China_x000D_
_x000D_
(6): Russia_x000D_
(7): Canada | Some are recyled/scrap,covered countries, DRC sourced and TI-CMC sourced but not all. | Mineral sourcing R/S,DRC,CC and mined from China, Russia, Canada | Includes Covered Countries</t>
  </si>
  <si>
    <t>Nanfeng Xiaozhai, Yunnan Sheng</t>
  </si>
  <si>
    <t>NA | Myanmar, Cambodia, Malaysia, Kazakhstan, Portugal, Austria, Mongolia, Luxembourg, Guyana, Republic Of Korea, Brazil, Chile, Laos, Ecuador, Colombia, Argentina, Hungary, Japan, India, Canada, Belgium, Namibia, China, Peru, Ethiopia, Germany, Russia, Vietna | RCOI confirmed as per RMI. | Mineral sourcing not disclosed</t>
  </si>
  <si>
    <t>Tonggu, Jiangxi Sheng</t>
  </si>
  <si>
    <t>NA | China, Republic Of Korea, Kazakhstan | RCOI confirmed per RMI | RCOI confirmed as per RMI. | Mineral sourcing not disclosed</t>
  </si>
  <si>
    <t>NA | China, DRC or an adjoining country (Covered Countries), Canada, Russia, Brazil, Malaysia, Australia, Bolivia, Peru, Indonesia, Recycled/Scrap, Japan | RCOI confirmed per RMI | RCOI confirmed as per RMI. | Mineral sourcing not disclosed</t>
  </si>
  <si>
    <t>NA | RCOI confirmed per RMI | RCOI confirmed as per RMI. | From Chongyi Weiheng Mining Co.,Ltd/Chongyi Hengch</t>
  </si>
  <si>
    <t>NA | Argentina, Papua New Guinea, Singapore, USA, Guinea, Japan, Canada, China, Brazil, Mexico, Chile, Australia, Peru, Recycled/Scrap, Portugal, Spain, Bolivia | RCOI confirmed per RMI | RCOI confirmed as per RMI. | Mineral sourcing from China</t>
  </si>
  <si>
    <t>Some are recycled or scrap sourced but not all. | Recycled/Scrap, DRC or an adjoining country (Covered Countries), Myanmar, Cambodia, Malaysia, Kazakhstan, Portugal, Austria, Mongolia, Luxembourg, Guyana, Brazil, Republic Of Korea, Chile, Laos, Ecuador, Colombia, Argentina, Hungary, Japan, India, Canada, | Some are recycled/scrap sourced but not all. | Mineral sourcing L1, R/S based on RMAP-RMI's RCOI data | Excludes Covered Countries | Excludes Covered Countries and CAHRA</t>
  </si>
  <si>
    <t>NinHua Xingluokeng Tungsten Mining Co.,Ltd; Luoyang Yulu Mining Co.,Ltd | Ning Hua Xingluokeng Tungsten Mining Co.,Ltd | 1. Ninhua Xingluokeng Tungsten Mining Co.,Ltd
2. Luoyang Yulu Mining Co., Ltd | NingHua Xingluokeng Tungsten Mining Co., Ltd; Xiamen Tungsten; Ninghua Hangluoken Co., Ltd.; NinHua Xingluokeng Tungsten Mining Co.,Ltd; Luoyang Yulu Mining Co.,Ltd; Ninghua Hangluoken Co., Ltd. Luoyang Yulu Mining Co.,Ltd Zijin Mining Co.,Ltd Xinxhou Min | Some are recycled or scrap sourced but not all. | Ninghua Xingluokeng Tungsten Mining Co., Ltd | NingHua Xingluokeng Tungsten Mining Co. Ltd. | RCOI confirmed per RMI | Xiamen Tungsten Co., Ltd | NingHua Xingluokeng Tungsten Mining Co. Ltd.
Luoyang Yulu Mining Co., Ltd.
Zijin Mining Group Co., Ltd.
Xinzhou Mining Co., Ltd.
Xianglushan Mine 
A&amp;IR MINING JSC
NORTH AMERICAN TUNSTEN COPR.LTD. | 1. Luokeng Mine
2. Luoyang Yulu Mining Co.,Ltd
3. Ninghua Hangluoken Co., Ltd.
4. Ninghua Xing, Luo Keng  Tungsten Mining Co. Ltd.
5. Xianglushan Mine
6. Xinxhou Mining Co.,Ltd
7. Zijin Mining Co.,Ltd | Ninghua Hangluoken Co., Ltd. | Ninghua Xingluokeng Tungsten Mining Co. Ltd.|NINGHUA XINGLUOKENG TUNGSTEN MINING CO., LTD|Luokeng Mine|China|Russia|Canada|1) NingHua Xingluokeng Tungsten Mining Co. Ltd.;
2) Luoyang Yulu Mining Co., Ltd.;
3) Xianglushan Mine;
4) Xinzhou Mining Co., Ltd.; | Some are recyled/scrap, TI-CMC sourced but not all. | From Ning Hua Xingluokeng Tungsten Mining Co.,Ltd Luoy,Luoyang Yulu Mining Co.,Ltd,Zijin Mining Co.,Ltd,Xinxhou Mining Co.,Ltd,</t>
  </si>
  <si>
    <t>China | CHINA | CANADA; CHINA; UNKNOWN | Some are recycled or scrap sourced but not all. | Ninghua Fujian China | China, Canada, Australia, Bolivia, Brazil, Russia, Portugal, USA, Nigeria, Thailand, Spain, Vietnam,  Rwanda, Niger, Mexico, Peru, Germany, Japan, Recycled/Scrap | China,Russia,Canada | the DRC or an adjoining country(covered countries) | RCOI confirmed per RMI | NingHua Xingluokeng Tungsten Mining Co. Ltd.
Luoyang Yulu Mining Co., Ltd.
Zijin Mining Group Co., Ltd.
Xinzhou Mining Co., Ltd.
Xianglushan Mine 
A&amp;IR MINING JSC
NORTH AMERICAN TUNSTEN COPR.LTD. | China
China
China
China
China
Russia
Canada | China|1.China
2 China
3.China
4.China
5.China
6.China
7.Canada
8. China
9. China
10. Thailand
11.Russia|China, Canada for mine;
China for scrap.|China, Canada, Thailand, Russia | Some are recyled/scrap, TI-CMC sourced but not all. | Mineral sourcing R/S and Mined, from China | Includes Covered Countries | Includes Covered Countries and CAHRA</t>
  </si>
  <si>
    <t>St. Martin i-S, Steiermark</t>
  </si>
  <si>
    <t>Some are recycled, scrap, covered countries or DRC sourced but not all. | Some are recycled, scrap or covered countries sourced but not all. | RCOI confirmed per RMI | Some are recycled, scrap, cover countries or DRC sourced but not all. | Some are recycled, scrap or cover countries sourced but not all. | Some are recyled/scrap,covered countries, and TI-CMC sourced but not all. | Recycled and from Mittersill</t>
  </si>
  <si>
    <t>Some are recycled, scrap, covered countries or DRC sourced but not all. | Some are recycled, scrap or covered countries sourced but not all. | China, Recycled/Scrap, DRC or an adjoining country (Covered Countries), Austria, Australia, Rwanda, Russia, Argentina, Belgium, Bolivia, Brazil, Cambodia, Canada, Chile, Colombia, Ivory Coast, Czech Republic, Djibouti, Ecuador, Egypt, Estonia, Ethiopia, F | Covered Country Sourcing | RCOI confirmed per RMI | Some are recycled, scrap, cover countries or DRC sourced but not all. | Some are recycled, scrap or cover countries sourced but not all. | Some are recyled/scrap,covered countries, and TI-CMC sourced but not all. | Mineral sourcing R/S, CC and Mined from Austria | Includes Covered Countries | Includes Covered Countries and CAHRA</t>
  </si>
  <si>
    <t>Fallon, Nevada</t>
  </si>
  <si>
    <t>Some are recycled or scrap sourced but not all. | Some are recycled, scrap or covered countries sourced but not all. | Some are recyled/scrap, TI-CMC sourced but not all. | Recycled, Scrap and mines not disclosed by supplier</t>
  </si>
  <si>
    <t>Some are recycled or scrap sourced but not all. | Some are recycled, scrap or covered countries sourced but not all. | Recycled/Scrap, USA, Russia, Vietnam, China, Bolivia, Portugal, Indonesia, Mexico, DRC or an adjoining country (Covered Countries) | Some are recyled/scrap, TI-CMC sourced but not all. | Mineral sourcing R/S and Mined based on RMAP-RMI's RCOI data | Includes Covered Countries</t>
  </si>
  <si>
    <t>Jiangxi Dajichan Tungsten Industry Ltd | China | 0; NA; Jiangxi Dajishan Tungsten Industry Ltd; From Jiangxi Dajichan Tungsten Industry Ltd; Domestic mine. Not, recycle.; Jiangxi Mine; Ganzhou Dajishan Tungsten Mine; Jiangxi Dajichan Tungsten Industry Ltd | Domestic mine . Not recycle. | RCOI confirmed per RMI | Province of Mines -  Ganzhou, Jiangxi | Domestic mine. Not recycle. | Ganzhou Dajishan Tungsten Mine | RCOI confirmed as per RMI. | From Jiangxi Dajishan Tungsten Industry Ltd, Ganzhou</t>
  </si>
  <si>
    <t>China | CHINA; UNKNOWN | Myanmar, Cambodia, Malaysia, Kazakhstan, Portugal, Mongolia, Austria, Mozambique, Luxembourg, Brazil, Guyana, Republic Of Korea, Chile, Laos, Colombia, Ecuador, Argentina, Hungary, Japan, India, Canada, Belgium, Namibia, China, Peru, Germany, Ethiopia, Ru | RCOI confirmed per RMI | Domestic mine . Not recycle. | CHINA | RCOI confirmed as per RMI. | Mineral sourcing from China</t>
  </si>
  <si>
    <t>Akita City, Akita</t>
  </si>
  <si>
    <t>Some are recycled or scrap sourced but not all. | Some are recycled, scrap, covered countries or DRC sourced but not all. | RCOI confirmed per RMI | Some are recycled, scrap, cover countries or DRC sourced but not all. | Some are recyled/scrap, TI-CMC sourced but not all. | From Taoxikeng Tungsten Mine/Jiangxi Dajishan Tungsten Industry Ltd/NingHua Xingluokeng Tungsten Mining Co., Ltd/Luoyang Yulu Mining Co.,Ltd/Zijin Mining Group Co.,Ltd/Xinzhou Mining Co.,Ltd/Xianglushan Mine/A&amp;IR MINING JSC/NORTH AMERICAN TUNGSTEN CORP.LT</t>
  </si>
  <si>
    <t>Some are recycled or scrap sourced but not all. | Some are recycled, scrap, covered countries or DRC sourced but not all. | Recycled/Scrap, Myanmar, Cambodia, Malaysia, Kazakhstan, Portugal, Austria, Mongolia, Luxembourg, Republic Of Korea, Brazil, Guyana, Chile, Laos, Ecuador, Argentina, Hungary, Japan, India, Canada, Belgium, Namibia, China, Peru, Germany, Ethiopia, Russia,  | Not coverd countries area | ,recycled | RCOI confirmed per RMI | Some are recycled, scrap, cover countries or DRC sourced but not all. | Includes Covered Countries | Some are recyled/scrap, TI-CMC sourced but not all. | Mineral sourcing from China,Russia,Canada</t>
  </si>
  <si>
    <t>1. Jiangxi Minmetals non-ferrous Pioneer Metals Corporation
2. Hunan Chunchang Nonferrous Metals Co.,Ltd | Some are recycled or scrap sourced but not all. | RCOI confirmed per RMI | 1. Jiangxi Minmetals non-ferrous Pioneer Metals Corporation 2. Hunan Chunchang Nonferrous Metals Co.,Ltd | Lin`an Guanghua mine | Jiangxi Minmetals non-ferrous Pioneer Metals Corporation Chun-chang Non-ferrous Smelting &amp; concentrating Co.,Ltd. | RCOI confirmed as per RMI. | From:
1. Jiangxi Minmetals non-ferrous Pioneer Metals Corporation
2. Hunan Chunchang Nonferrous Metals Co.,Ltd</t>
  </si>
  <si>
    <t>CHINA | Some are recycled or scrap sourced but not all. | China | Myanmar, Cambodia, Malaysia, Kazakhstan, Portugal, Mongolia, Austria, Mozambique, Luxembourg, Brazil, Guyana, Republic Of Korea, Chile, Laos, Ecuador, Colombia, Argentina, Hungary, Japan, India, Canada, Belgium, Namibia, China, Peru, Germany, Ethiopia, Ru | RCOI confirmed per RMI | Recycled/Scrap Only | RCOI confirmed as per RMI. | Mineral sourcing from China</t>
  </si>
  <si>
    <t>Yuanling, Hunan Sheng</t>
  </si>
  <si>
    <t>Some are recycled, scrap or covered countries. | NA | 0 | RCOI confirmed as per RMI. | Excludes Covered Countries</t>
  </si>
  <si>
    <t>Some are recycled, scrap or covered countries. | NA | Canada, Mozambique, China, Australia, Switzerland, Myanmar, Cambodia, Malaysia, Kazakhstan, Portugal, Austria, Mongolia, Luxembourg, Brazil, Guyana, Republic Of Korea, Chile, Laos, Ecuador, Colombia, Argentina, Hungary, Japan, India, Belgium, Namibia, Per | - | Mineral sourcing LR based on RMAP-RMI's RCOI data | Excludes Covered Countries | Excludes Covered Countries and CAHRA</t>
  </si>
  <si>
    <t>Towanda, Pennsylvania</t>
  </si>
  <si>
    <t>NA | Confidential | Recycled or Scrap | Some are sourced from covered countries or DRC but not all. | Some are recycled, scrap or covered countries sourced but not all. | RCOI confirmed per RMI | Some are recycled, scrap or cover countries sourced but not all. | GTP's own mines | Towanda | Some are recyled/scrap,covered countries, and TI-CMC sourced but not all. | Recycled and mines not disclosed by supplier</t>
  </si>
  <si>
    <t>NA | Confidential | Recycled or Scrap | Some are sourced from covered countries or DRC but not all. | UNITED STATES; UNKNOWN | Some are recycled, scrap or covered countries sourced but not all. | Myanmar, Cambodia, Malaysia, Kazakhstan, Portugal, Austria, Mongolia, Luxembourg, Guyana, Brazil, Republic Of Korea, Chile, Laos, Ecuador, Colombia, Argentina, Hungary, Japan, India, Canada, Belgium, Namibia, China, Peru, Ethiopia, Germany, Russia, Singap | Burundi,Rwanda | RCOI confirmed per RMI | Some are recycled, scrap or cover countries sourced but not all. | Recycled/Scrap Only | America | Canada, Peru, Spain, Portugal &amp; 
Boliva|Pennsylvia, USA | Some are recyled/scrap,covered countries, and TI-CMC sourced but not all. | Mineral sourcing R/S, CC and Mined based on RMAP-RMI's RCOI data | Includes Covered Countries</t>
  </si>
  <si>
    <t>Taoxikeng Tungsten Industry Mine | Some are recycled, scrap, covered countries or DRC sourced but not all. | Taoxikeng Tungsten Industry Mine; Taoxikeng Tungsten Mine; Chongyi Zhangyuan Tungsten Co,.Ltd.; Domestic mine. Not recycle.; Domestic mine. Not, recycle.; From Taoxikeng Tungsten Industry Mine; From Domestic mine. Not recycled | Chongyi Zhangyuan Tungsten Co,.Ltd.
Taoxikeng Tungsten Industry Mine | Domestic mine. Not recycle. | Taoxikeng tungsten deposit | RCOI confirmed per RMI | Chongyi Zhangyuan Tungsten Co,.Ltd. | RCOI confirmed as per RMI. | From Taoxikeng Tungsten Industry Mine</t>
  </si>
  <si>
    <t>China | Some are recycled, scrap, covered countries or DRC sourced but not all. | CHINA; UNKNOWN | CHINA | RCOI confirmed per RMI | Domestic mine . Not recycle. | RCOI confirmed as per RMI. | Mineral sourcing from China</t>
  </si>
  <si>
    <t>Some are recycled, scrap, covered countries or DRC sourced but not all. | NA | RCOI confirmed per RMI | 0 | RCOI confirmed as per RMI. | Not disclosed by supplier</t>
  </si>
  <si>
    <t>Some are recycled, scrap, covered countries or DRC sourced but not all. | NA | China, Myanmar, Cambodia, Malaysia, Kazakhstan, Portugal, Mongolia, Austria, Luxembourg, Brazil, Republic Of Korea, Guyana, Chile, Laos, Colombia, Ecuador, Argentina, Hungary, Japan, India, Canada, Belgium, Namibia, Peru, Germany, Ethiopia, Russia, Vietna | RCOI confirmed per RMI | - | China | RCOI confirmed as per RMI. | Mineral sourcing from China</t>
  </si>
  <si>
    <t>Huntsville, Alabama</t>
  </si>
  <si>
    <t>Some are recycled, scrap or covered countries sourced but not all. | Some are recycled or scrap sourced but not all. | RCOI confirmed per RMI | Scrap | Some are recyled/scrap, TI-CMC sourced but not all. | Recycled, Scrap and mines not disclosed by supplier</t>
  </si>
  <si>
    <t>Some are recycled, scrap or covered countries sourced but not all. | Some are recycled or scrap sourced but not all. | Indonesia, Recycled/Scrap | China | RCOI confirmed per RMI | Scrap USA | Some are recyled/scrap, TI-CMC sourced but not all. | Mineral sourcing R/S and Mined based on RMAP-RMI's RCOI data</t>
  </si>
  <si>
    <t>Toyama City, Toyama</t>
  </si>
  <si>
    <t>Recycled, Scrap | 100% Recycle | Some are recycled, scrap or covered countries sourced but not all. | Some are recycled, scrap or cover countries sourced but not all. | recycled | Recycled | Some are recyled/scrap, TI-CMC sourced but not all. | From Taoxikeng Tungsten Mine/Jiangxi Dajishan Tungsten Industry Ltd/NingHua Xingluokeng Tungsten Mining Co., Ltd/Luoyang Yulu Mining Co.,Ltd/Zijin Mining Group Co.,Ltd/Xinzhou Mining Co.,Ltd/Xianglushan Mine/A&amp;IR MINING JSC/NORTH AMERICAN TUNGSTEN CORP.LT</t>
  </si>
  <si>
    <t>Recycled, Scrap | CHINA; JAPAN; UNKNOWN | Some are recycled, scrap or covered countries sourced but not all. | China, Japan, Indonesia, Recycled/Scrap, USA, Portugal, Canada, Spain, Peru, Australia | China | Some are recycled, scrap or cover countries sourced but not all. | recycled | Recycled | Some are recyled/scrap, TI-CMC sourced but not all. | Minerals sourcing from R/S and Mined from China,Russia,Canada | Includes Covered Countries</t>
  </si>
  <si>
    <t>Derived the answer from responses of 134 suppliers, out of total 134 suppliers.</t>
  </si>
  <si>
    <t>Derived the answer from responses of 134 suppliers, out of total 134 suppliers. Total of 21 supplier(s) sourced the metal from DRC countries. The following 8 supplier(s) processed the metal through Conformant certified smelter: Alliance Memory Inc, Integrated Silicon Solution, Inc, Murata Electronics, OSRAM Opto Semiconductor, SEMICONDUCTOR COMPONENTS INDUSTRIES, LLC dba ON SEMICONDUCTOR, TOSHIBA ELECTRONIC DEVICES &amp; STORAGE CORPORATION, Vishay Intertechnology Inc., Winbond Electronics Corporation. The following 13 supplier(s) processed the metal from one or more smelters that is not currently Conformant certified: Analog Devices, Inc, Dialog Semiconductor, Dialog Semiconductor Operations Services Limited (DSOSL), Inphi Corporation, MAXIM INTEGRATED, Microchip Technology Incorporated, Nexperia B.V., Qualcomm Technologies International, Ltd., Silicon Laboratories Inc., Skyworks Solutions Inc., STMicroelectronics, Texas Instruments Incorporated, Vtech(Dongguan)Telecommunications Limited. Please note that the RMAP Conformant list is continually updated.</t>
  </si>
  <si>
    <t>Derived the answer from responses of 134 suppliers, out of total 134 suppliers. Total of 16 supplier(s) sourced the metal from DRC countries. The following 8 supplier(s) processed the metal through Conformant certified smelter: ITW ECS (FORMEX/LINX/LUMEX) (LUMEX), Murata Electronics, Nexperia B.V., SEMICONDUCTOR COMPONENTS INDUSTRIES, LLC dba ON SEMICONDUCTOR, SYNergy ScienTech Corp., TOSHIBA ELECTRONIC DEVICES &amp; STORAGE CORPORATION, TTM Technologies, Inc., Vtech(Dongguan)Telecommunications Limited. The following 8 supplier(s) processed the metal from one or more smelters that is not currently Conformant certified: Analog Devices, Inc, Inphi Corporation, MAXIM INTEGRATED, Microchip Technology Incorporated, Qualcomm Technologies International, Ltd., Skyworks Solutions Inc., STMicroelectronics, Texas Instruments Incorporated. Please note that the RMAP Conformant list is continually updated.</t>
  </si>
  <si>
    <t>Derived the answer from responses of 134 suppliers, out of total 134 suppliers. Total of 59 supplier(s) sourced the metal from DRC countries. The following 12 supplier(s) processed the metal through Conformant certified smelter: Central Semiconductor Corp., Elite Semiconductor Microelectronics Technology Inc., EM Devices Corporation, MITSUMI ELECTRIC CO., LTD., MITSUMI ELECTRIC CO.,LTD., New Japan Radio Co., Ltd., ROHM Co.,Ltd., Sharp Fukuyama Semiconductor Co., Ltd., Sumida America Components Inc., TAIYO YUDEN EUROPE GmbH, TOREX SEMICONDUCTOR LTD., Würth Elektronik eiSos GmbH &amp; Co.KG. The following 47 supplier(s) processed the metal from one or more smelters that is not currently Conformant certified:  MABUCHI MOTOR CO., LTD., ABLIC Inc., Alliance Memory Inc, ALPS ALPINE EUROPE GmbH, Analog Devices, Inc, ARAGONESA DE COMPONENTES PASIVOS SA, Bourns, Inc., C&amp;K Switches, Dialog Semiconductor, Dialog Semiconductor Operations Services Limited (DSOSL), Dong Guan Tai Sing Audio Technology Ltd.,, Europe Chemi-Con (Deutschland) GmbH (on behalf of Nippon Chemi-con Corporation), HIROSE ELECTRIC CO.,LTD , Inphi Corporation, Integrated Silicon Solution, Inc, ITW ECS (FORMEX/LINX/LUMEX) (LUMEX), Littelfuse, Inc, Macronix International Co., Ltd., MAXIM INTEGRATED, Microchip Technology Incorporated, Monolithic Power Systems, Inc., Murata Electronics, Nexperia B.V., NIC Components Corp, Nichicon, OSRAM Opto Semiconductor, Panasonic Industrial  Devices Sales Company of America, Panasonic Sales Company Name, PHIHONG TECHNOLOGY CO., LTD / PHIHONG USA TECHNOLOGY CO., LTD, Qualcomm Technologies International, Ltd., Ricoh Electronic Devices Company, Ltd., RUBYCON CORPORATION, Samsung Electro_Mechanics, SEMICONDUCTOR COMPONENTS INDUSTRIES, LLC dba ON SEMICONDUCTOR, Silicon Laboratories Inc., Skyworks Solutions Inc., STMicroelectronics, SYNergy ScienTech Corp., TDK Corporation, Texas Instruments Incorporated, TOSHIBA ELECTRONIC DEVICES &amp; STORAGE CORPORATION, TTM Technologies, Inc., Vishay Intertechnology Inc., Vtech(Dongguan)Telecommunications Limited, Walsin Technology Corporation, Winbond Electronics Corporation, Wurth Electronics Midcom Inc.. Please note that the RMAP Conformant list is continually updated.</t>
  </si>
  <si>
    <t>Derived the answer from responses of 134 suppliers, out of total 134 suppliers. Total of 29 supplier(s) sourced the metal from DRC countries. The following 19 supplier(s) processed the metal through Conformant certified smelter:  ROHM Co. LTD., ABLIC Inc., Analog Devices, Inc, Dialog Semiconductor, Dialog Semiconductor Operations Services Limited (DSOSL), Dong Guan Tai Sing Audio Technology Ltd.,, Elite Semiconductor Microelectronics Technology Inc., Integrated Silicon Solution, Inc, MAXIM INTEGRATED, Monolithic Power Systems, Inc., Murata Electronics, ROHM Co.,Ltd., Seiko Epson Corporation, SEMICONDUCTOR COMPONENTS INDUSTRIES, LLC dba ON SEMICONDUCTOR, Skyworks Solutions Inc., SYNergy ScienTech Corp., TOSHIBA ELECTRONIC DEVICES &amp; STORAGE CORPORATION, Vishay Intertechnology Inc., Vtech(Dongguan)Telecommunications Limited. The following 10 supplier(s) processed the metal from one or more smelters that is not currently Conformant certified: Alliance Memory Inc, Inphi Corporation, Macronix International Co., Ltd., Microchip Technology Incorporated, Nexperia B.V., OSRAM Opto Semiconductor, Qualcomm Technologies International, Ltd., Silicon Laboratories Inc., STMicroelectronics, Texas Instruments Incorporated. Please note that the RMAP Conformant list is continually updated.</t>
  </si>
  <si>
    <t>GN Audio A/S</t>
  </si>
  <si>
    <t>Dunn &amp; Bradstreet</t>
  </si>
  <si>
    <t xml:space="preserve">Lautrupbjerg 7, 2750  Ballerup	</t>
  </si>
  <si>
    <t>Srinivasulu Reddy Mule</t>
  </si>
  <si>
    <t>srmule@jabra.com</t>
  </si>
  <si>
    <t>+45 30548854</t>
  </si>
  <si>
    <t>Senior Manager, Certifications &amp; Process Improvements</t>
  </si>
  <si>
    <t>DUNS No. 305571424</t>
  </si>
  <si>
    <t>https://www.gn.com/-/media/Files/Document-Download-Center/Corporate-responsibility/GN-Conflict-Minerals-Policy.pdf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</si>
</sst>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 #,##0.00_);_(* \(#,##0.00\);_(* &quot;-&quot;??_);_(@_)"/>
    <numFmt numFmtId="166" formatCode="_(&quot;$&quot;* #,##0_);_(&quot;$&quot;* \(#,##0\);_(&quot;$&quot;* &quot;-&quot;_);_(@_)"/>
    <numFmt numFmtId="167" formatCode="_(&quot;$&quot;* #,##0.00_);_(&quot;$&quot;* \(#,##0.00\);_(&quot;$&quot;*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F020000}"/>
    <cellStyle name="標準 2" xfId="589" xr:uid="{00000000-0005-0000-0000-00004A020000}"/>
    <cellStyle name="標準 2 2" xfId="590" xr:uid="{00000000-0005-0000-0000-00004B020000}"/>
    <cellStyle name="標準 2 3" xfId="591" xr:uid="{00000000-0005-0000-0000-00004C020000}"/>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0000"/>
        </patternFill>
      </fill>
    </dxf>
    <dxf>
      <fill>
        <patternFill>
          <bgColor rgb="FFFF00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rmule@jabra.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n.com/-/media/Files/Document-Download-Center/Corporate-responsibility/GN-Conflict-Minerals-Policy.pdf" TargetMode="External"/><Relationship Id="rId4" Type="http://schemas.openxmlformats.org/officeDocument/2006/relationships/hyperlink" Target="mailto:srmule@jabra.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59"/>
      <c r="B2" s="38" t="s">
        <v>847</v>
      </c>
      <c r="C2" s="36"/>
      <c r="D2" s="206"/>
      <c r="E2" s="3"/>
      <c r="F2" s="36"/>
      <c r="G2" s="34"/>
    </row>
    <row r="3" spans="1:7">
      <c r="A3" s="359"/>
      <c r="B3" s="5" t="s">
        <v>839</v>
      </c>
      <c r="C3" s="6"/>
      <c r="D3" s="207"/>
      <c r="E3" s="3"/>
      <c r="F3" s="6"/>
      <c r="G3" s="34"/>
    </row>
    <row r="4" spans="1:7" ht="15.75">
      <c r="A4" s="359"/>
      <c r="B4" s="41" t="s">
        <v>849</v>
      </c>
      <c r="C4" s="7"/>
      <c r="D4" s="208"/>
      <c r="E4" s="3"/>
      <c r="F4" s="7"/>
      <c r="G4" s="34"/>
    </row>
    <row r="5" spans="1:7">
      <c r="A5" s="359"/>
      <c r="B5" s="40" t="s">
        <v>1040</v>
      </c>
      <c r="C5" s="4"/>
      <c r="D5" s="209"/>
      <c r="E5" s="3"/>
      <c r="F5" s="4"/>
      <c r="G5" s="34"/>
    </row>
    <row r="6" spans="1:7">
      <c r="A6" s="359"/>
      <c r="B6" s="8"/>
      <c r="C6" s="8"/>
      <c r="D6" s="210"/>
      <c r="E6" s="8"/>
      <c r="F6" s="8"/>
      <c r="G6" s="34"/>
    </row>
    <row r="7" spans="1:7">
      <c r="A7" s="359"/>
      <c r="B7" s="8"/>
      <c r="C7" s="8"/>
      <c r="D7" s="210"/>
      <c r="E7" s="8"/>
      <c r="F7" s="8"/>
      <c r="G7" s="34"/>
    </row>
    <row r="8" spans="1:7">
      <c r="A8" s="359"/>
      <c r="B8" s="8"/>
      <c r="C8" s="8"/>
      <c r="D8" s="210"/>
      <c r="E8" s="8"/>
      <c r="F8" s="8"/>
      <c r="G8" s="34"/>
    </row>
    <row r="9" spans="1:7">
      <c r="A9" s="359"/>
      <c r="B9" s="362" t="s">
        <v>850</v>
      </c>
      <c r="C9" s="362"/>
      <c r="D9" s="362"/>
      <c r="E9" s="362"/>
      <c r="F9" s="362"/>
      <c r="G9" s="34"/>
    </row>
    <row r="10" spans="1:7" ht="27" customHeight="1">
      <c r="A10" s="359"/>
      <c r="B10" s="363" t="s">
        <v>438</v>
      </c>
      <c r="C10" s="363"/>
      <c r="D10" s="363"/>
      <c r="E10" s="363"/>
      <c r="F10" s="363"/>
      <c r="G10" s="34"/>
    </row>
    <row r="11" spans="1:7" ht="27" customHeight="1">
      <c r="A11" s="359"/>
      <c r="B11" s="364"/>
      <c r="C11" s="364"/>
      <c r="D11" s="364"/>
      <c r="E11" s="364"/>
      <c r="F11" s="364"/>
      <c r="G11" s="34"/>
    </row>
    <row r="12" spans="1:7">
      <c r="A12" s="359"/>
      <c r="B12" s="42" t="s">
        <v>848</v>
      </c>
      <c r="C12" s="43" t="s">
        <v>851</v>
      </c>
      <c r="D12" s="211" t="s">
        <v>852</v>
      </c>
      <c r="E12" s="43" t="s">
        <v>612</v>
      </c>
      <c r="F12" s="43" t="s">
        <v>613</v>
      </c>
      <c r="G12" s="34"/>
    </row>
    <row r="13" spans="1:7" ht="33.75">
      <c r="A13" s="359"/>
      <c r="B13" s="2">
        <v>1</v>
      </c>
      <c r="C13" s="37" t="s">
        <v>1088</v>
      </c>
      <c r="D13" s="39" t="s">
        <v>876</v>
      </c>
      <c r="E13" s="194" t="s">
        <v>853</v>
      </c>
      <c r="F13" s="194"/>
      <c r="G13" s="34"/>
    </row>
    <row r="14" spans="1:7" ht="33.75">
      <c r="A14" s="359"/>
      <c r="B14" s="2">
        <v>2</v>
      </c>
      <c r="C14" s="37" t="s">
        <v>1088</v>
      </c>
      <c r="D14" s="39" t="s">
        <v>1025</v>
      </c>
      <c r="E14" s="194" t="s">
        <v>530</v>
      </c>
      <c r="F14" s="194" t="s">
        <v>531</v>
      </c>
      <c r="G14" s="34"/>
    </row>
    <row r="15" spans="1:7" ht="89.1" customHeight="1">
      <c r="A15" s="359"/>
      <c r="B15" s="365">
        <v>2.0099999999999998</v>
      </c>
      <c r="C15" s="356" t="s">
        <v>1088</v>
      </c>
      <c r="D15" s="368" t="s">
        <v>2265</v>
      </c>
      <c r="E15" s="195" t="s">
        <v>614</v>
      </c>
      <c r="F15" s="195" t="s">
        <v>617</v>
      </c>
      <c r="G15" s="34"/>
    </row>
    <row r="16" spans="1:7" ht="99" customHeight="1">
      <c r="A16" s="359"/>
      <c r="B16" s="366"/>
      <c r="C16" s="357"/>
      <c r="D16" s="369"/>
      <c r="E16" s="196"/>
      <c r="F16" s="196" t="s">
        <v>615</v>
      </c>
      <c r="G16" s="34"/>
    </row>
    <row r="17" spans="1:7" ht="63" customHeight="1">
      <c r="A17" s="359"/>
      <c r="B17" s="367"/>
      <c r="C17" s="358"/>
      <c r="D17" s="370"/>
      <c r="E17" s="37"/>
      <c r="F17" s="37" t="s">
        <v>616</v>
      </c>
      <c r="G17" s="34"/>
    </row>
    <row r="18" spans="1:7" ht="117" customHeight="1">
      <c r="A18" s="359"/>
      <c r="B18" s="365">
        <v>2.02</v>
      </c>
      <c r="C18" s="356" t="s">
        <v>1088</v>
      </c>
      <c r="D18" s="368" t="s">
        <v>2266</v>
      </c>
      <c r="E18" s="195" t="s">
        <v>439</v>
      </c>
      <c r="F18" s="195" t="s">
        <v>525</v>
      </c>
      <c r="G18" s="34"/>
    </row>
    <row r="19" spans="1:7" ht="71.099999999999994" customHeight="1">
      <c r="A19" s="359"/>
      <c r="B19" s="366"/>
      <c r="C19" s="357"/>
      <c r="D19" s="369"/>
      <c r="E19" s="196" t="s">
        <v>529</v>
      </c>
      <c r="F19" s="196" t="s">
        <v>440</v>
      </c>
      <c r="G19" s="34"/>
    </row>
    <row r="20" spans="1:7" ht="90.75" customHeight="1">
      <c r="A20" s="359"/>
      <c r="B20" s="366"/>
      <c r="C20" s="357"/>
      <c r="D20" s="369"/>
      <c r="E20" s="196"/>
      <c r="F20" s="196" t="s">
        <v>619</v>
      </c>
      <c r="G20" s="34"/>
    </row>
    <row r="21" spans="1:7" ht="74.25" customHeight="1">
      <c r="A21" s="359"/>
      <c r="B21" s="367"/>
      <c r="C21" s="358"/>
      <c r="D21" s="370"/>
      <c r="E21" s="37"/>
      <c r="F21" s="37" t="s">
        <v>618</v>
      </c>
      <c r="G21" s="34"/>
    </row>
    <row r="22" spans="1:7" ht="90" customHeight="1">
      <c r="A22" s="359"/>
      <c r="B22" s="374">
        <v>2.0299999999999998</v>
      </c>
      <c r="C22" s="374" t="s">
        <v>822</v>
      </c>
      <c r="D22" s="353" t="s">
        <v>2267</v>
      </c>
      <c r="E22" s="356" t="s">
        <v>437</v>
      </c>
      <c r="F22" s="195" t="s">
        <v>460</v>
      </c>
      <c r="G22" s="34"/>
    </row>
    <row r="23" spans="1:7" ht="109.5" customHeight="1">
      <c r="A23" s="359"/>
      <c r="B23" s="375"/>
      <c r="C23" s="375"/>
      <c r="D23" s="354"/>
      <c r="E23" s="357"/>
      <c r="F23" s="196" t="s">
        <v>823</v>
      </c>
      <c r="G23" s="34"/>
    </row>
    <row r="24" spans="1:7" ht="74.25" customHeight="1">
      <c r="A24" s="359"/>
      <c r="B24" s="376"/>
      <c r="C24" s="376"/>
      <c r="D24" s="355"/>
      <c r="E24" s="358"/>
      <c r="F24" s="37" t="s">
        <v>436</v>
      </c>
      <c r="G24" s="34"/>
    </row>
    <row r="25" spans="1:7" ht="72" customHeight="1">
      <c r="A25" s="359"/>
      <c r="B25" s="2" t="s">
        <v>458</v>
      </c>
      <c r="C25" s="37" t="s">
        <v>459</v>
      </c>
      <c r="D25" s="39" t="s">
        <v>2268</v>
      </c>
      <c r="E25" s="37" t="s">
        <v>2263</v>
      </c>
      <c r="F25" s="37" t="s">
        <v>461</v>
      </c>
      <c r="G25" s="34"/>
    </row>
    <row r="26" spans="1:7" ht="98.1" customHeight="1">
      <c r="A26" s="359"/>
      <c r="B26" s="371">
        <v>3</v>
      </c>
      <c r="C26" s="365" t="s">
        <v>70</v>
      </c>
      <c r="D26" s="368" t="s">
        <v>2269</v>
      </c>
      <c r="E26" s="356" t="s">
        <v>0</v>
      </c>
      <c r="F26" s="195" t="s">
        <v>64</v>
      </c>
      <c r="G26" s="34"/>
    </row>
    <row r="27" spans="1:7" ht="90" customHeight="1">
      <c r="A27" s="359"/>
      <c r="B27" s="372"/>
      <c r="C27" s="366"/>
      <c r="D27" s="369"/>
      <c r="E27" s="357"/>
      <c r="F27" s="196" t="s">
        <v>59</v>
      </c>
      <c r="G27" s="34"/>
    </row>
    <row r="28" spans="1:7" ht="19.350000000000001" customHeight="1">
      <c r="A28" s="359"/>
      <c r="B28" s="372"/>
      <c r="C28" s="366"/>
      <c r="D28" s="369"/>
      <c r="E28" s="357"/>
      <c r="F28" s="196" t="s">
        <v>60</v>
      </c>
      <c r="G28" s="34"/>
    </row>
    <row r="29" spans="1:7" ht="74.45" customHeight="1">
      <c r="A29" s="359"/>
      <c r="B29" s="372"/>
      <c r="C29" s="366"/>
      <c r="D29" s="369"/>
      <c r="E29" s="357"/>
      <c r="F29" s="196" t="s">
        <v>61</v>
      </c>
      <c r="G29" s="34"/>
    </row>
    <row r="30" spans="1:7" ht="62.45" customHeight="1">
      <c r="A30" s="359"/>
      <c r="B30" s="372"/>
      <c r="C30" s="366"/>
      <c r="D30" s="369"/>
      <c r="E30" s="357"/>
      <c r="F30" s="196" t="s">
        <v>62</v>
      </c>
      <c r="G30" s="34"/>
    </row>
    <row r="31" spans="1:7" ht="81" customHeight="1">
      <c r="A31" s="359"/>
      <c r="B31" s="372"/>
      <c r="C31" s="366"/>
      <c r="D31" s="369"/>
      <c r="E31" s="357"/>
      <c r="F31" s="196" t="s">
        <v>63</v>
      </c>
      <c r="G31" s="34"/>
    </row>
    <row r="32" spans="1:7" ht="48.75" customHeight="1">
      <c r="A32" s="359"/>
      <c r="B32" s="372"/>
      <c r="C32" s="366"/>
      <c r="D32" s="369"/>
      <c r="E32" s="357"/>
      <c r="F32" s="196" t="s">
        <v>66</v>
      </c>
      <c r="G32" s="34"/>
    </row>
    <row r="33" spans="1:7" ht="98.45" customHeight="1">
      <c r="A33" s="359"/>
      <c r="B33" s="372"/>
      <c r="C33" s="366"/>
      <c r="D33" s="369"/>
      <c r="E33" s="357"/>
      <c r="F33" s="196" t="s">
        <v>65</v>
      </c>
      <c r="G33" s="34"/>
    </row>
    <row r="34" spans="1:7" ht="89.1" customHeight="1">
      <c r="A34" s="359"/>
      <c r="B34" s="372"/>
      <c r="C34" s="366"/>
      <c r="D34" s="369"/>
      <c r="E34" s="357"/>
      <c r="F34" s="196" t="s">
        <v>67</v>
      </c>
      <c r="G34" s="34"/>
    </row>
    <row r="35" spans="1:7" ht="29.1" customHeight="1">
      <c r="A35" s="359"/>
      <c r="B35" s="372"/>
      <c r="C35" s="366"/>
      <c r="D35" s="369"/>
      <c r="E35" s="357"/>
      <c r="F35" s="196" t="s">
        <v>68</v>
      </c>
      <c r="G35" s="34"/>
    </row>
    <row r="36" spans="1:7" ht="126.75">
      <c r="A36" s="359"/>
      <c r="B36" s="373"/>
      <c r="C36" s="367"/>
      <c r="D36" s="370"/>
      <c r="E36" s="358"/>
      <c r="F36" s="197" t="s">
        <v>69</v>
      </c>
      <c r="G36" s="34"/>
    </row>
    <row r="37" spans="1:7" ht="112.5">
      <c r="A37" s="359"/>
      <c r="B37" s="170">
        <v>3.01</v>
      </c>
      <c r="C37" s="171" t="s">
        <v>70</v>
      </c>
      <c r="D37" s="39" t="s">
        <v>2270</v>
      </c>
      <c r="E37" s="198" t="s">
        <v>1328</v>
      </c>
      <c r="F37" s="199" t="s">
        <v>1434</v>
      </c>
      <c r="G37" s="34"/>
    </row>
    <row r="38" spans="1:7" ht="101.25">
      <c r="A38" s="359"/>
      <c r="B38" s="170">
        <v>3.02</v>
      </c>
      <c r="C38" s="171" t="s">
        <v>1361</v>
      </c>
      <c r="D38" s="39" t="s">
        <v>2271</v>
      </c>
      <c r="E38" s="198" t="s">
        <v>1376</v>
      </c>
      <c r="F38" s="199" t="s">
        <v>1435</v>
      </c>
      <c r="G38" s="34"/>
    </row>
    <row r="39" spans="1:7" ht="101.25">
      <c r="A39" s="359"/>
      <c r="B39" s="180">
        <v>4</v>
      </c>
      <c r="C39" s="179" t="s">
        <v>1531</v>
      </c>
      <c r="D39" s="39" t="s">
        <v>2272</v>
      </c>
      <c r="E39" s="37" t="s">
        <v>2215</v>
      </c>
      <c r="F39" s="37" t="s">
        <v>1532</v>
      </c>
      <c r="G39" s="34"/>
    </row>
    <row r="40" spans="1:7" ht="56.25">
      <c r="A40" s="359"/>
      <c r="B40" s="170">
        <v>4.01</v>
      </c>
      <c r="C40" s="179" t="s">
        <v>1531</v>
      </c>
      <c r="D40" s="39" t="s">
        <v>2274</v>
      </c>
      <c r="E40" s="37" t="s">
        <v>2229</v>
      </c>
      <c r="F40" s="37" t="s">
        <v>2233</v>
      </c>
      <c r="G40" s="34"/>
    </row>
    <row r="41" spans="1:7" ht="56.25">
      <c r="A41" s="359"/>
      <c r="B41" s="170" t="s">
        <v>2261</v>
      </c>
      <c r="C41" s="179" t="s">
        <v>1531</v>
      </c>
      <c r="D41" s="39" t="s">
        <v>2273</v>
      </c>
      <c r="E41" s="37" t="s">
        <v>2264</v>
      </c>
      <c r="F41" s="37" t="s">
        <v>2262</v>
      </c>
      <c r="G41" s="34"/>
    </row>
    <row r="42" spans="1:7" ht="56.25">
      <c r="A42" s="359"/>
      <c r="B42" s="170" t="s">
        <v>2299</v>
      </c>
      <c r="C42" s="179" t="s">
        <v>1531</v>
      </c>
      <c r="D42" s="39" t="s">
        <v>2306</v>
      </c>
      <c r="E42" s="37" t="s">
        <v>2263</v>
      </c>
      <c r="F42" s="37" t="s">
        <v>2300</v>
      </c>
      <c r="G42" s="34"/>
    </row>
    <row r="43" spans="1:7" ht="123.75">
      <c r="A43" s="359"/>
      <c r="B43" s="191">
        <v>4.0999999999999996</v>
      </c>
      <c r="C43" s="179" t="s">
        <v>2305</v>
      </c>
      <c r="D43" s="192">
        <v>42867</v>
      </c>
      <c r="E43" s="200" t="s">
        <v>2308</v>
      </c>
      <c r="F43" s="37" t="s">
        <v>2307</v>
      </c>
      <c r="G43" s="34"/>
    </row>
    <row r="44" spans="1:7" ht="78.75">
      <c r="A44" s="359"/>
      <c r="B44" s="191">
        <v>4.2</v>
      </c>
      <c r="C44" s="179" t="s">
        <v>2305</v>
      </c>
      <c r="D44" s="192">
        <v>42704</v>
      </c>
      <c r="E44" s="200" t="s">
        <v>2510</v>
      </c>
      <c r="F44" s="37" t="s">
        <v>2485</v>
      </c>
      <c r="G44" s="34"/>
    </row>
    <row r="45" spans="1:7" ht="157.5">
      <c r="A45" s="359"/>
      <c r="B45" s="240">
        <v>5</v>
      </c>
      <c r="C45" s="179" t="s">
        <v>2305</v>
      </c>
      <c r="D45" s="192">
        <v>42867</v>
      </c>
      <c r="E45" s="200" t="s">
        <v>12917</v>
      </c>
      <c r="F45" s="37" t="s">
        <v>12639</v>
      </c>
      <c r="G45" s="34"/>
    </row>
    <row r="46" spans="1:7" ht="45">
      <c r="A46" s="359"/>
      <c r="B46" s="191">
        <v>5.01</v>
      </c>
      <c r="C46" s="179" t="s">
        <v>2305</v>
      </c>
      <c r="D46" s="192">
        <v>42907</v>
      </c>
      <c r="E46" s="200" t="s">
        <v>12935</v>
      </c>
      <c r="F46" s="37" t="s">
        <v>12639</v>
      </c>
      <c r="G46" s="34"/>
    </row>
    <row r="47" spans="1:7" ht="67.5">
      <c r="A47" s="359"/>
      <c r="B47" s="191">
        <v>5.0999999999999996</v>
      </c>
      <c r="C47" s="179" t="s">
        <v>2305</v>
      </c>
      <c r="D47" s="192">
        <v>43070</v>
      </c>
      <c r="E47" s="200" t="s">
        <v>13129</v>
      </c>
      <c r="F47" s="37" t="s">
        <v>13130</v>
      </c>
      <c r="G47" s="34"/>
    </row>
    <row r="48" spans="1:7" ht="56.25">
      <c r="A48" s="359"/>
      <c r="B48" s="191">
        <v>5.1100000000000003</v>
      </c>
      <c r="C48" s="179" t="s">
        <v>13371</v>
      </c>
      <c r="D48" s="192">
        <v>43217</v>
      </c>
      <c r="E48" s="200" t="s">
        <v>13499</v>
      </c>
      <c r="F48" s="37" t="s">
        <v>13405</v>
      </c>
      <c r="G48" s="34"/>
    </row>
    <row r="49" spans="1:7" ht="56.25">
      <c r="A49" s="359"/>
      <c r="B49" s="191">
        <v>5.12</v>
      </c>
      <c r="C49" s="179" t="s">
        <v>13371</v>
      </c>
      <c r="D49" s="192">
        <v>43581</v>
      </c>
      <c r="E49" s="200" t="s">
        <v>13499</v>
      </c>
      <c r="F49" s="37" t="s">
        <v>14064</v>
      </c>
      <c r="G49" s="34"/>
    </row>
    <row r="50" spans="1:7" ht="78.75">
      <c r="A50" s="359"/>
      <c r="B50" s="240">
        <v>6</v>
      </c>
      <c r="C50" s="179" t="s">
        <v>13371</v>
      </c>
      <c r="D50" s="192">
        <v>43964</v>
      </c>
      <c r="E50" s="200" t="s">
        <v>14291</v>
      </c>
      <c r="F50" s="37" t="s">
        <v>14074</v>
      </c>
      <c r="G50" s="34"/>
    </row>
    <row r="51" spans="1:7" ht="45">
      <c r="A51" s="359"/>
      <c r="B51" s="191">
        <v>6.01</v>
      </c>
      <c r="C51" s="179" t="s">
        <v>13371</v>
      </c>
      <c r="D51" s="192">
        <v>43970</v>
      </c>
      <c r="E51" s="200" t="s">
        <v>15309</v>
      </c>
      <c r="F51" s="200" t="s">
        <v>14074</v>
      </c>
      <c r="G51" s="34"/>
    </row>
    <row r="52" spans="1:7" ht="45">
      <c r="A52" s="359"/>
      <c r="B52" s="191">
        <v>6.1</v>
      </c>
      <c r="C52" s="179" t="s">
        <v>13371</v>
      </c>
      <c r="D52" s="192">
        <v>44314</v>
      </c>
      <c r="E52" s="200" t="s">
        <v>15314</v>
      </c>
      <c r="F52" s="200" t="s">
        <v>15319</v>
      </c>
      <c r="G52" s="34"/>
    </row>
    <row r="53" spans="1:7" ht="13.5" thickBot="1">
      <c r="A53" s="360"/>
      <c r="B53" s="361" t="str">
        <f ca="1">OFFSET(L!$C$1,MATCH("General"&amp;"Cpy",L!$A:$A,0)-1,SL,,)</f>
        <v>© 2021 Responsible Minerals Initiative. All rights reserved.</v>
      </c>
      <c r="C53" s="361"/>
      <c r="D53" s="361"/>
      <c r="E53" s="361"/>
      <c r="F53" s="36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2CF4CC0-CA9C-4FDF-8A6F-A3D237033B45}"/>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135A65EF-5994-48AC-AD9E-C0624AF3B8F6}"/>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70" zoomScaleNormal="7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64" zoomScale="70" zoomScaleNormal="70" zoomScalePageLayoutView="70" workbookViewId="0">
      <selection activeCell="E95" sqref="E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4"/>
      <c r="B1" s="415"/>
      <c r="C1" s="415"/>
      <c r="D1" s="415"/>
      <c r="E1" s="415"/>
      <c r="F1" s="415"/>
      <c r="G1" s="415"/>
      <c r="H1" s="415"/>
      <c r="I1" s="415"/>
      <c r="J1" s="415"/>
      <c r="K1" s="41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7" t="str">
        <f ca="1">OFFSET(L!$C$1,MATCH("Declaration"&amp;ADDRESS(ROW(),COLUMN(),4),L!$A:$A,0)-1,SL,,)</f>
        <v>Conflict Minerals Reporting Template (CMRT)</v>
      </c>
      <c r="E2" s="418"/>
      <c r="F2" s="418"/>
      <c r="G2" s="418"/>
      <c r="H2" s="418"/>
      <c r="I2" s="418"/>
      <c r="J2" s="41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7"/>
      <c r="G3" s="427"/>
      <c r="H3" s="427"/>
      <c r="I3" s="182"/>
      <c r="J3" s="167" t="s">
        <v>15318</v>
      </c>
      <c r="K3" s="47"/>
      <c r="L3" s="139"/>
      <c r="M3" s="130"/>
      <c r="N3" s="130"/>
      <c r="O3" s="131"/>
      <c r="P3" s="144">
        <f>MATCH($D$3,LN,0)</f>
        <v>1</v>
      </c>
    </row>
    <row r="4" spans="1:34" ht="15.75">
      <c r="A4" s="45"/>
      <c r="B4" s="423" t="str">
        <f ca="1">OFFSET(L!$C$1,MATCH("Declaration"&amp;ADDRESS(ROW(),COLUMN(),4),L!$A:$A,0)-1,SL,,)</f>
        <v>The purpose of this document is to collect sourcing information on tin, tantalum, tungsten and gold used in products</v>
      </c>
      <c r="C4" s="423"/>
      <c r="D4" s="423"/>
      <c r="E4" s="423"/>
      <c r="F4" s="423"/>
      <c r="G4" s="423"/>
      <c r="H4" s="423"/>
      <c r="I4" s="428" t="str">
        <f ca="1">OFFSET(L!$C$1,MATCH("Declaration"&amp;ADDRESS(ROW(),COLUMN(),4),L!$A:$A,0)-1,SL,,)</f>
        <v>Link to Terms &amp; Conditions</v>
      </c>
      <c r="J4" s="42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3" t="str">
        <f ca="1">OFFSET(L!$C$1,MATCH("Declaration"&amp;ADDRESS(ROW(),COLUMN(),4),L!$A:$A,0)-1,SL,,)</f>
        <v>Mandatory fields are noted with an asterisk (*).  Consult the instructions tab for guidance on how to answer each question.</v>
      </c>
      <c r="C6" s="423"/>
      <c r="D6" s="423"/>
      <c r="E6" s="423"/>
      <c r="F6" s="423"/>
      <c r="G6" s="423"/>
      <c r="H6" s="423"/>
      <c r="I6" s="423"/>
      <c r="J6" s="42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2" t="str">
        <f ca="1">OFFSET(L!$C$1,MATCH("Declaration"&amp;ADDRESS(ROW(),COLUMN(),4),L!$A:$A,0)-1,SL,,)</f>
        <v>Company Information</v>
      </c>
      <c r="C7" s="432"/>
      <c r="D7" s="432"/>
      <c r="E7" s="432"/>
      <c r="F7" s="432"/>
      <c r="G7" s="432"/>
      <c r="H7" s="432"/>
      <c r="I7" s="432"/>
      <c r="J7" s="43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0" t="s">
        <v>16233</v>
      </c>
      <c r="E8" s="421"/>
      <c r="F8" s="421"/>
      <c r="G8" s="421"/>
      <c r="H8" s="421"/>
      <c r="I8" s="421"/>
      <c r="J8" s="42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9" t="s">
        <v>494</v>
      </c>
      <c r="E9" s="430"/>
      <c r="F9" s="430"/>
      <c r="G9" s="43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3" t="str">
        <f ca="1">OFFSET(L!$C$1,MATCH("Declaration"&amp;ADDRESS(ROW(),COLUMN(),4)&amp;LEFT($D$9,1),L!$A:$A,0)-1,SL,,)</f>
        <v>Description of Scope:</v>
      </c>
      <c r="C10" s="151"/>
      <c r="D10" s="424"/>
      <c r="E10" s="425"/>
      <c r="F10" s="425"/>
      <c r="G10" s="425"/>
      <c r="H10" s="425"/>
      <c r="I10" s="425"/>
      <c r="J10" s="42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4"/>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7" t="s">
        <v>16240</v>
      </c>
      <c r="E12" s="408"/>
      <c r="F12" s="408"/>
      <c r="G12" s="408"/>
      <c r="H12" s="408"/>
      <c r="I12" s="408"/>
      <c r="J12" s="409"/>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7" t="s">
        <v>16234</v>
      </c>
      <c r="E13" s="408"/>
      <c r="F13" s="408"/>
      <c r="G13" s="408"/>
      <c r="H13" s="408"/>
      <c r="I13" s="408"/>
      <c r="J13" s="409"/>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7" t="s">
        <v>16235</v>
      </c>
      <c r="E14" s="408"/>
      <c r="F14" s="408"/>
      <c r="G14" s="408"/>
      <c r="H14" s="408"/>
      <c r="I14" s="408"/>
      <c r="J14" s="409"/>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7" t="s">
        <v>16236</v>
      </c>
      <c r="E15" s="408"/>
      <c r="F15" s="408"/>
      <c r="G15" s="408"/>
      <c r="H15" s="408"/>
      <c r="I15" s="408"/>
      <c r="J15" s="409"/>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5" t="s">
        <v>16237</v>
      </c>
      <c r="E16" s="436"/>
      <c r="F16" s="436"/>
      <c r="G16" s="436"/>
      <c r="H16" s="436"/>
      <c r="I16" s="436"/>
      <c r="J16" s="43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7" t="s">
        <v>16238</v>
      </c>
      <c r="E17" s="408"/>
      <c r="F17" s="408"/>
      <c r="G17" s="408"/>
      <c r="H17" s="408"/>
      <c r="I17" s="408"/>
      <c r="J17" s="409"/>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7" t="s">
        <v>16236</v>
      </c>
      <c r="E18" s="408"/>
      <c r="F18" s="408"/>
      <c r="G18" s="408"/>
      <c r="H18" s="408"/>
      <c r="I18" s="408"/>
      <c r="J18" s="409"/>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7" t="s">
        <v>16239</v>
      </c>
      <c r="E19" s="408"/>
      <c r="F19" s="408"/>
      <c r="G19" s="408"/>
      <c r="H19" s="408"/>
      <c r="I19" s="408"/>
      <c r="J19" s="409"/>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5" t="s">
        <v>16237</v>
      </c>
      <c r="E20" s="436"/>
      <c r="F20" s="436"/>
      <c r="G20" s="436"/>
      <c r="H20" s="436"/>
      <c r="I20" s="436"/>
      <c r="J20" s="43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38" t="s">
        <v>16238</v>
      </c>
      <c r="E21" s="439"/>
      <c r="F21" s="439"/>
      <c r="G21" s="439"/>
      <c r="H21" s="439"/>
      <c r="I21" s="439"/>
      <c r="J21" s="440"/>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1">
        <v>44438</v>
      </c>
      <c r="E22" s="442"/>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0"/>
      <c r="E23" s="41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3" t="str">
        <f ca="1">OFFSET(L!$C$1,MATCH("Declaration"&amp;ADDRESS(ROW(),COLUMN(),4),L!$A:$A,0)-1,SL,,)</f>
        <v>Answer the following questions 1 - 8 based on the declaration scope indicated above</v>
      </c>
      <c r="C24" s="443"/>
      <c r="D24" s="443"/>
      <c r="E24" s="443"/>
      <c r="F24" s="443"/>
      <c r="G24" s="443"/>
      <c r="H24" s="443"/>
      <c r="I24" s="443"/>
      <c r="J24" s="443"/>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3" t="s">
        <v>488</v>
      </c>
      <c r="E26" s="384"/>
      <c r="F26" s="15"/>
      <c r="G26" s="385" t="s">
        <v>16228</v>
      </c>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ustomHeight="1">
      <c r="A27" s="52"/>
      <c r="B27" s="51" t="str">
        <f ca="1">OFFSET(L!$C$1,MATCH("Declaration"&amp;ADDRESS(ROW(),COLUMN(),4),L!$A:$A,0)-1,SL,,)&amp;P27</f>
        <v>Tin  (*)</v>
      </c>
      <c r="C27" s="46"/>
      <c r="D27" s="383" t="s">
        <v>488</v>
      </c>
      <c r="E27" s="384"/>
      <c r="F27" s="15"/>
      <c r="G27" s="385" t="s">
        <v>16228</v>
      </c>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ustomHeight="1">
      <c r="A28" s="52"/>
      <c r="B28" s="51" t="str">
        <f ca="1">OFFSET(L!$C$1,MATCH("Declaration"&amp;ADDRESS(ROW(),COLUMN(),4),L!$A:$A,0)-1,SL,,)&amp;P28</f>
        <v>Gold  (*)</v>
      </c>
      <c r="C28" s="46"/>
      <c r="D28" s="383" t="s">
        <v>488</v>
      </c>
      <c r="E28" s="384"/>
      <c r="F28" s="15"/>
      <c r="G28" s="385" t="s">
        <v>16228</v>
      </c>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ustomHeight="1">
      <c r="A29" s="52"/>
      <c r="B29" s="51" t="str">
        <f ca="1">OFFSET(L!$C$1,MATCH("Declaration"&amp;ADDRESS(ROW(),COLUMN(),4),L!$A:$A,0)-1,SL,,)&amp;P29</f>
        <v>Tungsten  (*)</v>
      </c>
      <c r="C29" s="46"/>
      <c r="D29" s="383" t="s">
        <v>488</v>
      </c>
      <c r="E29" s="384"/>
      <c r="F29" s="15"/>
      <c r="G29" s="385" t="s">
        <v>16228</v>
      </c>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ustomHeight="1">
      <c r="A32" s="52"/>
      <c r="B32" s="51" t="str">
        <f ca="1">B26</f>
        <v>Tantalum  (*)</v>
      </c>
      <c r="C32" s="13"/>
      <c r="D32" s="401" t="s">
        <v>488</v>
      </c>
      <c r="E32" s="402"/>
      <c r="F32" s="58"/>
      <c r="G32" s="385" t="s">
        <v>16228</v>
      </c>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ustomHeight="1">
      <c r="A33" s="52"/>
      <c r="B33" s="51" t="str">
        <f ca="1">B27</f>
        <v>Tin  (*)</v>
      </c>
      <c r="C33" s="13"/>
      <c r="D33" s="383" t="s">
        <v>488</v>
      </c>
      <c r="E33" s="384"/>
      <c r="F33" s="58"/>
      <c r="G33" s="385" t="s">
        <v>16228</v>
      </c>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ustomHeight="1">
      <c r="A34" s="52"/>
      <c r="B34" s="51" t="str">
        <f ca="1">B28</f>
        <v>Gold  (*)</v>
      </c>
      <c r="C34" s="13"/>
      <c r="D34" s="383" t="s">
        <v>488</v>
      </c>
      <c r="E34" s="384"/>
      <c r="F34" s="58"/>
      <c r="G34" s="385" t="s">
        <v>16228</v>
      </c>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ustomHeight="1">
      <c r="A35" s="52"/>
      <c r="B35" s="51" t="str">
        <f ca="1">B29</f>
        <v>Tungsten  (*)</v>
      </c>
      <c r="C35" s="13"/>
      <c r="D35" s="383" t="s">
        <v>488</v>
      </c>
      <c r="E35" s="384"/>
      <c r="F35" s="58"/>
      <c r="G35" s="385" t="s">
        <v>16228</v>
      </c>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06"/>
      <c r="I37" s="406"/>
      <c r="J37" s="406"/>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3" t="s">
        <v>488</v>
      </c>
      <c r="E38" s="384"/>
      <c r="F38" s="58"/>
      <c r="G38" s="385" t="s">
        <v>16229</v>
      </c>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488</v>
      </c>
      <c r="E39" s="384"/>
      <c r="F39" s="58"/>
      <c r="G39" s="385" t="s">
        <v>16231</v>
      </c>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488</v>
      </c>
      <c r="E40" s="384"/>
      <c r="F40" s="58"/>
      <c r="G40" s="385" t="s">
        <v>16230</v>
      </c>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3" t="s">
        <v>488</v>
      </c>
      <c r="E41" s="384"/>
      <c r="F41" s="58"/>
      <c r="G41" s="385" t="s">
        <v>16232</v>
      </c>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488</v>
      </c>
      <c r="E44" s="384"/>
      <c r="F44" s="58"/>
      <c r="G44" s="385" t="s">
        <v>16228</v>
      </c>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488</v>
      </c>
      <c r="E45" s="384"/>
      <c r="F45" s="58"/>
      <c r="G45" s="385" t="s">
        <v>16228</v>
      </c>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488</v>
      </c>
      <c r="E46" s="384"/>
      <c r="F46" s="58"/>
      <c r="G46" s="385" t="s">
        <v>16228</v>
      </c>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488</v>
      </c>
      <c r="E47" s="384"/>
      <c r="F47" s="58"/>
      <c r="G47" s="385" t="s">
        <v>16228</v>
      </c>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ustomHeight="1">
      <c r="A50" s="52"/>
      <c r="B50" s="51" t="str">
        <f ca="1">B38</f>
        <v>Tantalum  (*)</v>
      </c>
      <c r="C50" s="13"/>
      <c r="D50" s="383" t="s">
        <v>489</v>
      </c>
      <c r="E50" s="384"/>
      <c r="F50" s="58"/>
      <c r="G50" s="385" t="s">
        <v>16228</v>
      </c>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83" t="s">
        <v>489</v>
      </c>
      <c r="E51" s="384"/>
      <c r="F51" s="58"/>
      <c r="G51" s="385" t="s">
        <v>16228</v>
      </c>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Gold  (*)</v>
      </c>
      <c r="C52" s="13"/>
      <c r="D52" s="383" t="s">
        <v>489</v>
      </c>
      <c r="E52" s="384"/>
      <c r="F52" s="58"/>
      <c r="G52" s="385" t="s">
        <v>16228</v>
      </c>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ustomHeight="1">
      <c r="A53" s="52"/>
      <c r="B53" s="51" t="str">
        <f ca="1">B41</f>
        <v>Tungsten  (*)</v>
      </c>
      <c r="C53" s="13"/>
      <c r="D53" s="383" t="s">
        <v>489</v>
      </c>
      <c r="E53" s="384"/>
      <c r="F53" s="58"/>
      <c r="G53" s="385" t="s">
        <v>16228</v>
      </c>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Tantalum  (*)</v>
      </c>
      <c r="C56" s="46"/>
      <c r="D56" s="404">
        <v>1</v>
      </c>
      <c r="E56" s="405"/>
      <c r="F56" s="58"/>
      <c r="G56" s="385" t="s">
        <v>16228</v>
      </c>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404">
        <v>1</v>
      </c>
      <c r="E57" s="405"/>
      <c r="F57" s="58"/>
      <c r="G57" s="385" t="s">
        <v>16228</v>
      </c>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404">
        <v>1</v>
      </c>
      <c r="E58" s="405"/>
      <c r="F58" s="58"/>
      <c r="G58" s="385" t="s">
        <v>16228</v>
      </c>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404">
        <v>1</v>
      </c>
      <c r="E59" s="405"/>
      <c r="F59" s="58"/>
      <c r="G59" s="385" t="s">
        <v>16228</v>
      </c>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ustomHeight="1">
      <c r="A62" s="52"/>
      <c r="B62" s="51" t="str">
        <f ca="1">B38</f>
        <v>Tantalum  (*)</v>
      </c>
      <c r="C62" s="13"/>
      <c r="D62" s="401" t="s">
        <v>488</v>
      </c>
      <c r="E62" s="402"/>
      <c r="F62" s="58"/>
      <c r="G62" s="385" t="s">
        <v>16228</v>
      </c>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83" t="s">
        <v>488</v>
      </c>
      <c r="E63" s="384"/>
      <c r="F63" s="58"/>
      <c r="G63" s="385" t="s">
        <v>16228</v>
      </c>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83" t="s">
        <v>488</v>
      </c>
      <c r="E64" s="384"/>
      <c r="F64" s="58"/>
      <c r="G64" s="385" t="s">
        <v>16228</v>
      </c>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83" t="s">
        <v>488</v>
      </c>
      <c r="E65" s="384"/>
      <c r="F65" s="58"/>
      <c r="G65" s="385" t="s">
        <v>16228</v>
      </c>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ustomHeight="1">
      <c r="A68" s="52"/>
      <c r="B68" s="51" t="str">
        <f ca="1">B38</f>
        <v>Tantalum  (*)</v>
      </c>
      <c r="C68" s="46"/>
      <c r="D68" s="383" t="s">
        <v>488</v>
      </c>
      <c r="E68" s="384"/>
      <c r="F68" s="59"/>
      <c r="G68" s="385" t="s">
        <v>16228</v>
      </c>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ustomHeight="1">
      <c r="A69" s="52"/>
      <c r="B69" s="51" t="str">
        <f ca="1">B39</f>
        <v>Tin  (*)</v>
      </c>
      <c r="C69" s="46"/>
      <c r="D69" s="383" t="s">
        <v>488</v>
      </c>
      <c r="E69" s="384"/>
      <c r="F69" s="59"/>
      <c r="G69" s="385" t="s">
        <v>16228</v>
      </c>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ustomHeight="1">
      <c r="A70" s="52"/>
      <c r="B70" s="51" t="str">
        <f ca="1">B40</f>
        <v>Gold  (*)</v>
      </c>
      <c r="C70" s="46"/>
      <c r="D70" s="383" t="s">
        <v>488</v>
      </c>
      <c r="E70" s="384"/>
      <c r="F70" s="59"/>
      <c r="G70" s="385" t="s">
        <v>16228</v>
      </c>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ustomHeight="1">
      <c r="A71" s="49"/>
      <c r="B71" s="51" t="str">
        <f ca="1">B41</f>
        <v>Tungsten  (*)</v>
      </c>
      <c r="C71" s="60"/>
      <c r="D71" s="383" t="s">
        <v>488</v>
      </c>
      <c r="E71" s="384"/>
      <c r="F71" s="61"/>
      <c r="G71" s="385" t="s">
        <v>16228</v>
      </c>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488</v>
      </c>
      <c r="E77" s="384"/>
      <c r="F77" s="68"/>
      <c r="G77" s="411" t="s">
        <v>16241</v>
      </c>
      <c r="H77" s="412"/>
      <c r="I77" s="412"/>
      <c r="J77" s="41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489</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8" type="noConversion"/>
  <conditionalFormatting sqref="D75:E75 D77:E77 D79:E79 D81:E81 D85:E85 D87:E87 D89:E89 D83">
    <cfRule type="expression" dxfId="107" priority="63" stopIfTrue="1">
      <formula>AND(OR($D$26="No",AND($D$26="Yes",$D$32="No")),OR($D$27="No",AND($D$27="Yes",$D$33="No")),OR($D$28="No",AND($D$28="Yes",$D$34="No")),OR($D$29="No",AND($D$29="Yes",$D$35="No")))</formula>
    </cfRule>
    <cfRule type="expression" dxfId="106" priority="64" stopIfTrue="1">
      <formula>IF(D75="",TRUE)</formula>
    </cfRule>
  </conditionalFormatting>
  <conditionalFormatting sqref="G77:J77">
    <cfRule type="expression" dxfId="105" priority="35" stopIfTrue="1">
      <formula>IF(AND($D$77="Yes",$G$77=""),TRUE)</formula>
    </cfRule>
  </conditionalFormatting>
  <conditionalFormatting sqref="D26:E26">
    <cfRule type="expression" dxfId="104" priority="115" stopIfTrue="1">
      <formula>IF($D$26="",TRUE)</formula>
    </cfRule>
  </conditionalFormatting>
  <conditionalFormatting sqref="D27:E27">
    <cfRule type="expression" dxfId="103" priority="122" stopIfTrue="1">
      <formula>IF($D$27="",TRUE)</formula>
    </cfRule>
  </conditionalFormatting>
  <conditionalFormatting sqref="D28:E28">
    <cfRule type="expression" dxfId="102" priority="123" stopIfTrue="1">
      <formula>IF($D$28="",TRUE)</formula>
    </cfRule>
  </conditionalFormatting>
  <conditionalFormatting sqref="D29:E29">
    <cfRule type="expression" dxfId="101" priority="124" stopIfTrue="1">
      <formula>IF($D$29="",TRUE)</formula>
    </cfRule>
  </conditionalFormatting>
  <conditionalFormatting sqref="D8:J8">
    <cfRule type="expression" dxfId="100" priority="129" stopIfTrue="1">
      <formula>IF($D$8="",TRUE)</formula>
    </cfRule>
  </conditionalFormatting>
  <conditionalFormatting sqref="D9:G9">
    <cfRule type="expression" dxfId="99" priority="130" stopIfTrue="1">
      <formula>IF($D$9="",TRUE)</formula>
    </cfRule>
  </conditionalFormatting>
  <conditionalFormatting sqref="D15:J15">
    <cfRule type="expression" dxfId="98" priority="131" stopIfTrue="1">
      <formula>IF($D$15="",TRUE)</formula>
    </cfRule>
  </conditionalFormatting>
  <conditionalFormatting sqref="D16:J16">
    <cfRule type="expression" dxfId="97" priority="132" stopIfTrue="1">
      <formula>IF($D$16="",TRUE)</formula>
    </cfRule>
  </conditionalFormatting>
  <conditionalFormatting sqref="D17:J17">
    <cfRule type="expression" dxfId="96" priority="133" stopIfTrue="1">
      <formula>IF($D$17="",TRUE)</formula>
    </cfRule>
  </conditionalFormatting>
  <conditionalFormatting sqref="D18:J18">
    <cfRule type="expression" dxfId="95" priority="134" stopIfTrue="1">
      <formula>IF($D$18="",TRUE)</formula>
    </cfRule>
  </conditionalFormatting>
  <conditionalFormatting sqref="D22:E22">
    <cfRule type="expression" dxfId="94" priority="137" stopIfTrue="1">
      <formula>IF($D$22="",TRUE)</formula>
    </cfRule>
  </conditionalFormatting>
  <conditionalFormatting sqref="D10:J10">
    <cfRule type="expression" dxfId="93" priority="34" stopIfTrue="1">
      <formula>IF($D$9=$Q$9,TRUE)</formula>
    </cfRule>
    <cfRule type="expression" dxfId="92" priority="144" stopIfTrue="1">
      <formula>IF(AND($D$10="",$D$9=$R$9),TRUE)</formula>
    </cfRule>
  </conditionalFormatting>
  <conditionalFormatting sqref="D34:E34 D40:E40 D52:E52 D58:E58 D64:E64 D70:E70">
    <cfRule type="expression" dxfId="91" priority="27" stopIfTrue="1">
      <formula>$P$28=""</formula>
    </cfRule>
  </conditionalFormatting>
  <conditionalFormatting sqref="D35:E35 D41:E41 D53:E53 D59:E59 D65:E65 D71:E71">
    <cfRule type="expression" dxfId="90" priority="142" stopIfTrue="1">
      <formula>$P$29=""</formula>
    </cfRule>
  </conditionalFormatting>
  <conditionalFormatting sqref="D32:E32">
    <cfRule type="expression" dxfId="89" priority="120" stopIfTrue="1">
      <formula>$P$26=""</formula>
    </cfRule>
  </conditionalFormatting>
  <conditionalFormatting sqref="D32:E32">
    <cfRule type="expression" dxfId="88" priority="33" stopIfTrue="1">
      <formula>IF(AND(OR($D$26="Yes",$D$26=""),$D$32=""),1,0)</formula>
    </cfRule>
  </conditionalFormatting>
  <conditionalFormatting sqref="D38 D50 D56 D62 D68">
    <cfRule type="expression" dxfId="87" priority="29" stopIfTrue="1">
      <formula>$P$32=""</formula>
    </cfRule>
  </conditionalFormatting>
  <conditionalFormatting sqref="D39:E39 D51 D57 D63 D69">
    <cfRule type="expression" dxfId="86" priority="28" stopIfTrue="1">
      <formula>$P$33=""</formula>
    </cfRule>
  </conditionalFormatting>
  <conditionalFormatting sqref="D40 D52 D58 D64 D70">
    <cfRule type="expression" dxfId="85" priority="18" stopIfTrue="1">
      <formula>$P$34=""</formula>
    </cfRule>
    <cfRule type="expression" dxfId="84" priority="140" stopIfTrue="1">
      <formula>IF(AND(OR($D$28="Yes",$D$28=""),D40=""),1,0)</formula>
    </cfRule>
  </conditionalFormatting>
  <conditionalFormatting sqref="D41 D53 D59 D65 D71">
    <cfRule type="expression" dxfId="83" priority="26" stopIfTrue="1">
      <formula>$P$35=""</formula>
    </cfRule>
  </conditionalFormatting>
  <conditionalFormatting sqref="D38:E38 D50:E50 D56:E56 D62:E62 D68:E68">
    <cfRule type="expression" dxfId="82" priority="31" stopIfTrue="1">
      <formula>$P$26=""</formula>
    </cfRule>
    <cfRule type="expression" dxfId="81" priority="32" stopIfTrue="1">
      <formula>IF(AND(OR($D$26="Yes",$D$26=""),D38=""),1,0)</formula>
    </cfRule>
  </conditionalFormatting>
  <conditionalFormatting sqref="G85:J85">
    <cfRule type="expression" dxfId="80" priority="25" stopIfTrue="1">
      <formula>IF(AND($D$85="Yes, using other format (describe)",$G$85=""),TRUE)</formula>
    </cfRule>
  </conditionalFormatting>
  <conditionalFormatting sqref="D39:E39 D51:E51 D57:E57 D63:E63 D69:E69">
    <cfRule type="expression" dxfId="79" priority="138" stopIfTrue="1">
      <formula>$P$39=""</formula>
    </cfRule>
    <cfRule type="expression" dxfId="78" priority="139" stopIfTrue="1">
      <formula>IF(AND(OR($D$27="Yes",$D$27=""),D39=""),1,0)</formula>
    </cfRule>
  </conditionalFormatting>
  <conditionalFormatting sqref="D33:E33">
    <cfRule type="expression" dxfId="77" priority="20" stopIfTrue="1">
      <formula>IF(AND(OR($D$27="Yes",$D$27=""),$D$33=""),1,0)</formula>
    </cfRule>
    <cfRule type="expression" dxfId="76" priority="21" stopIfTrue="1">
      <formula>$P$27=""</formula>
    </cfRule>
  </conditionalFormatting>
  <conditionalFormatting sqref="D34:E34">
    <cfRule type="expression" dxfId="75" priority="141" stopIfTrue="1">
      <formula>IF(AND(OR($D$28="Yes",$D$28=""),$D$34=""),1,0)</formula>
    </cfRule>
  </conditionalFormatting>
  <conditionalFormatting sqref="D41:E41 D53:E53 D59:E59 D65:E65 D71:E71">
    <cfRule type="expression" dxfId="74" priority="143" stopIfTrue="1">
      <formula>IF(AND(OR($D$29="Yes",$D$29=""),D41=""),1,0)</formula>
    </cfRule>
  </conditionalFormatting>
  <conditionalFormatting sqref="D35:E35">
    <cfRule type="expression" dxfId="73" priority="17" stopIfTrue="1">
      <formula>IF(AND(OR($D$29="Yes",$D$29=""),$D$35=""),1,0)</formula>
    </cfRule>
  </conditionalFormatting>
  <conditionalFormatting sqref="D20:J20">
    <cfRule type="expression" dxfId="72" priority="13" stopIfTrue="1">
      <formula>IF($D$20="",TRUE)</formula>
    </cfRule>
  </conditionalFormatting>
  <conditionalFormatting sqref="D46:E46">
    <cfRule type="expression" dxfId="71" priority="3" stopIfTrue="1">
      <formula>$P$28=""</formula>
    </cfRule>
  </conditionalFormatting>
  <conditionalFormatting sqref="D47:E47">
    <cfRule type="expression" dxfId="70" priority="11" stopIfTrue="1">
      <formula>$P$29=""</formula>
    </cfRule>
  </conditionalFormatting>
  <conditionalFormatting sqref="D44">
    <cfRule type="expression" dxfId="69" priority="5" stopIfTrue="1">
      <formula>$P$32=""</formula>
    </cfRule>
  </conditionalFormatting>
  <conditionalFormatting sqref="D45">
    <cfRule type="expression" dxfId="68" priority="4" stopIfTrue="1">
      <formula>$P$33=""</formula>
    </cfRule>
  </conditionalFormatting>
  <conditionalFormatting sqref="D46">
    <cfRule type="expression" dxfId="67" priority="1" stopIfTrue="1">
      <formula>$P$34=""</formula>
    </cfRule>
    <cfRule type="expression" dxfId="66" priority="10" stopIfTrue="1">
      <formula>IF(AND(OR($D$28="Yes",$D$28=""),D46=""),1,0)</formula>
    </cfRule>
  </conditionalFormatting>
  <conditionalFormatting sqref="D47">
    <cfRule type="expression" dxfId="65" priority="2" stopIfTrue="1">
      <formula>$P$35=""</formula>
    </cfRule>
  </conditionalFormatting>
  <conditionalFormatting sqref="D44:E44">
    <cfRule type="expression" dxfId="64" priority="6" stopIfTrue="1">
      <formula>$P$26=""</formula>
    </cfRule>
    <cfRule type="expression" dxfId="63" priority="7" stopIfTrue="1">
      <formula>IF(AND(OR($D$26="Yes",$D$26=""),D44=""),1,0)</formula>
    </cfRule>
  </conditionalFormatting>
  <conditionalFormatting sqref="D45:E45">
    <cfRule type="expression" dxfId="62" priority="8" stopIfTrue="1">
      <formula>$P$39=""</formula>
    </cfRule>
    <cfRule type="expression" dxfId="61" priority="9" stopIfTrue="1">
      <formula>IF(AND(OR($D$27="Yes",$D$27=""),D45=""),1,0)</formula>
    </cfRule>
  </conditionalFormatting>
  <conditionalFormatting sqref="D47:E47">
    <cfRule type="expression" dxfId="60"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D464D053-3236-4DB4-BE2F-2EFAB51F5DC1}"/>
    <hyperlink ref="D20" r:id="rId4" xr:uid="{C5D562DA-613A-4AD2-A066-E8E43F633670}"/>
    <hyperlink ref="G77" r:id="rId5" xr:uid="{6D092E35-AA57-4465-9060-60DD6DA7A8A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5" activePane="bottomLeft" state="frozen"/>
      <selection pane="bottomLeft" activeCell="A3" sqref="A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4" t="str">
        <f ca="1">OFFSET(L!$C$1,MATCH("Smelter List"&amp;ADDRESS(ROW(),COLUMN(),4),L!$A:$A,0)-1,SL,,)</f>
        <v>Link to "RMAP Conformant Smelter List"</v>
      </c>
      <c r="K2" s="445"/>
      <c r="L2" s="445"/>
      <c r="M2" s="445"/>
      <c r="N2" s="445"/>
      <c r="O2" s="445"/>
      <c r="P2" s="231"/>
      <c r="Q2" s="232"/>
      <c r="R2" s="233"/>
      <c r="S2" s="233"/>
      <c r="T2" s="233"/>
      <c r="U2" s="262"/>
      <c r="V2" s="262"/>
      <c r="W2" s="263"/>
      <c r="X2" s="262"/>
      <c r="Y2" s="262"/>
      <c r="Z2" s="262"/>
      <c r="AH2" s="174" t="s">
        <v>488</v>
      </c>
    </row>
    <row r="3" spans="1:34" s="264" customFormat="1" ht="150.75" customHeight="1">
      <c r="A3" s="202"/>
      <c r="B3" s="44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6"/>
      <c r="D3" s="446"/>
      <c r="E3" s="446"/>
      <c r="F3" s="265"/>
      <c r="G3" s="447" t="str">
        <f ca="1">OFFSET(L!$C$1,MATCH("General"&amp;"Cpy",L!$A:$A,0)-1,SL,,)</f>
        <v>© 2021 Responsible Minerals Initiative. All rights reserved.</v>
      </c>
      <c r="H3" s="447"/>
      <c r="I3" s="448"/>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215" t="s">
        <v>14103</v>
      </c>
      <c r="B5" s="215" t="s">
        <v>1130</v>
      </c>
      <c r="C5" s="219" t="s">
        <v>14080</v>
      </c>
      <c r="D5" s="278" t="s">
        <v>14080</v>
      </c>
      <c r="E5" s="215" t="s">
        <v>1108</v>
      </c>
      <c r="F5" s="215" t="str">
        <f ca="1">IF(ISERROR($V5),"",OFFSET('Smelter Look-up'!$E$4,$V5-4,0))</f>
        <v>CID003425</v>
      </c>
      <c r="G5" s="215" t="str">
        <f ca="1">IF(C5=$X$4,"Enter smelter details",IF(ISERROR($V5),"",OFFSET('Smelter Look-up'!$F$4,$V5-4,0)))</f>
        <v>RMI</v>
      </c>
      <c r="H5" s="216" t="s">
        <v>15606</v>
      </c>
      <c r="I5" s="217" t="s">
        <v>6793</v>
      </c>
      <c r="J5" s="217" t="s">
        <v>6793</v>
      </c>
      <c r="K5" s="268"/>
      <c r="L5" s="268"/>
      <c r="M5" s="268"/>
      <c r="N5" s="268" t="s">
        <v>15607</v>
      </c>
      <c r="O5" s="268" t="s">
        <v>15608</v>
      </c>
      <c r="P5" s="218"/>
      <c r="Q5" s="269" t="s">
        <v>15609</v>
      </c>
      <c r="R5" s="215" t="str">
        <f ca="1">IF(ISERROR($V5),"",OFFSET('Smelter Look-up'!$C$4,$V5-4,0)&amp;"")</f>
        <v>Eco-System Recycling Co., Ltd. West Plant</v>
      </c>
      <c r="S5" s="222" t="str">
        <f t="shared" ref="S5" ca="1" si="0">IF(B5="","",IF(ISERROR(MATCH($E5,CL,0)),"Unknown",INDIRECT("'C'!$A$"&amp;MATCH($E5,CL,0)+1)))</f>
        <v>JP</v>
      </c>
      <c r="T5" s="222" t="str">
        <f ca="1">IF(B5="","",IF(ISERROR(MATCH($J5,SorP!$B$1:$B$6230,0)),"",INDIRECT("'SorP'!$A$"&amp;MATCH($J5,SorP!$B$1:$B$6230,0))))</f>
        <v>JP-33</v>
      </c>
      <c r="U5" s="238"/>
      <c r="V5" s="270">
        <f>IF(C5="",NA(),MATCH($B5&amp;$C5,'Smelter Look-up'!$J:$J,0))</f>
        <v>72</v>
      </c>
      <c r="W5" s="271"/>
      <c r="X5" s="271">
        <f t="shared" ref="X5" si="1">IF(AND(C5="Smelter not listed",OR(LEN(D5)=0,LEN(E5)=0)),1,0)</f>
        <v>0</v>
      </c>
      <c r="Y5" s="271"/>
      <c r="Z5" s="271"/>
      <c r="AB5" s="273" t="str">
        <f t="shared" ref="AB5" si="2">B5&amp;C5</f>
        <v>GoldEco-System Recycling Co., Ltd. West Plant</v>
      </c>
    </row>
    <row r="6" spans="1:34" s="272" customFormat="1" ht="20.100000000000001" customHeight="1">
      <c r="A6" s="215" t="s">
        <v>14102</v>
      </c>
      <c r="B6" s="215" t="s">
        <v>1130</v>
      </c>
      <c r="C6" s="219" t="s">
        <v>14079</v>
      </c>
      <c r="D6" s="278" t="s">
        <v>14079</v>
      </c>
      <c r="E6" s="215" t="s">
        <v>1108</v>
      </c>
      <c r="F6" s="215" t="str">
        <f ca="1">IF(ISERROR($V6),"",OFFSET('Smelter Look-up'!$E$4,$V6-4,0))</f>
        <v>CID003424</v>
      </c>
      <c r="G6" s="215" t="str">
        <f ca="1">IF(C6=$X$4,"Enter smelter details",IF(ISERROR($V6),"",OFFSET('Smelter Look-up'!$F$4,$V6-4,0)))</f>
        <v>RMI</v>
      </c>
      <c r="H6" s="216" t="s">
        <v>15610</v>
      </c>
      <c r="I6" s="217" t="s">
        <v>14117</v>
      </c>
      <c r="J6" s="217" t="s">
        <v>1582</v>
      </c>
      <c r="K6" s="268"/>
      <c r="L6" s="268"/>
      <c r="M6" s="268"/>
      <c r="N6" s="268" t="s">
        <v>15607</v>
      </c>
      <c r="O6" s="268" t="s">
        <v>15608</v>
      </c>
      <c r="P6" s="218"/>
      <c r="Q6" s="269" t="s">
        <v>15609</v>
      </c>
      <c r="R6" s="215" t="str">
        <f ca="1">IF(ISERROR($V6),"",OFFSET('Smelter Look-up'!$C$4,$V6-4,0)&amp;"")</f>
        <v>Eco-System Recycling Co., Ltd. North Plant</v>
      </c>
      <c r="S6" s="222" t="str">
        <f t="shared" ref="S6:S37" ca="1" si="3">IF(B6="","",IF(ISERROR(MATCH($E6,CL,0)),"Unknown",INDIRECT("'C'!$A$"&amp;MATCH($E6,CL,0)+1)))</f>
        <v>JP</v>
      </c>
      <c r="T6" s="222" t="str">
        <f ca="1">IF(B6="","",IF(ISERROR(MATCH($J6,SorP!$B$1:$B$6230,0)),"",INDIRECT("'SorP'!$A$"&amp;MATCH($J6,SorP!$B$1:$B$6230,0))))</f>
        <v>JP-05</v>
      </c>
      <c r="U6" s="238"/>
      <c r="V6" s="270">
        <f>IF(C6="",NA(),MATCH($B6&amp;$C6,'Smelter Look-up'!$J:$J,0))</f>
        <v>71</v>
      </c>
      <c r="W6" s="271"/>
      <c r="X6" s="271">
        <f t="shared" ref="X6:X37" si="4">IF(AND(C6="Smelter not listed",OR(LEN(D6)=0,LEN(E6)=0)),1,0)</f>
        <v>0</v>
      </c>
      <c r="Y6" s="271"/>
      <c r="Z6" s="271"/>
      <c r="AB6" s="273" t="str">
        <f t="shared" ref="AB6:AB37" si="5">B6&amp;C6</f>
        <v>GoldEco-System Recycling Co., Ltd. North Plant</v>
      </c>
    </row>
    <row r="7" spans="1:34" s="272" customFormat="1" ht="20.100000000000001" customHeight="1">
      <c r="A7" s="215" t="s">
        <v>2551</v>
      </c>
      <c r="B7" s="215" t="s">
        <v>1130</v>
      </c>
      <c r="C7" s="219" t="s">
        <v>2550</v>
      </c>
      <c r="D7" s="278" t="s">
        <v>2550</v>
      </c>
      <c r="E7" s="215" t="s">
        <v>1107</v>
      </c>
      <c r="F7" s="215" t="str">
        <f ca="1">IF(ISERROR($V7),"",OFFSET('Smelter Look-up'!$E$4,$V7-4,0))</f>
        <v>CID002973</v>
      </c>
      <c r="G7" s="215" t="str">
        <f ca="1">IF(C7=$X$4,"Enter smelter details",IF(ISERROR($V7),"",OFFSET('Smelter Look-up'!$F$4,$V7-4,0)))</f>
        <v>RMI</v>
      </c>
      <c r="H7" s="216" t="s">
        <v>15611</v>
      </c>
      <c r="I7" s="217" t="s">
        <v>1576</v>
      </c>
      <c r="J7" s="217" t="s">
        <v>6576</v>
      </c>
      <c r="K7" s="268"/>
      <c r="L7" s="268"/>
      <c r="M7" s="268"/>
      <c r="N7" s="268" t="s">
        <v>15612</v>
      </c>
      <c r="O7" s="268" t="s">
        <v>15613</v>
      </c>
      <c r="P7" s="218"/>
      <c r="Q7" s="269" t="s">
        <v>15609</v>
      </c>
      <c r="R7" s="215" t="str">
        <f ca="1">IF(ISERROR($V7),"",OFFSET('Smelter Look-up'!$C$4,$V7-4,0)&amp;"")</f>
        <v>Safimet S.p.A</v>
      </c>
      <c r="S7" s="222" t="str">
        <f t="shared" ca="1" si="3"/>
        <v>IT</v>
      </c>
      <c r="T7" s="222" t="str">
        <f ca="1">IF(B7="","",IF(ISERROR(MATCH($J7,SorP!$B$1:$B$6230,0)),"",INDIRECT("'SorP'!$A$"&amp;MATCH($J7,SorP!$B$1:$B$6230,0))))</f>
        <v>IT-52</v>
      </c>
      <c r="U7" s="238"/>
      <c r="V7" s="270">
        <f>IF(C7="",NA(),MATCH($B7&amp;$C7,'Smelter Look-up'!$J:$J,0))</f>
        <v>218</v>
      </c>
      <c r="W7" s="271"/>
      <c r="X7" s="271">
        <f t="shared" si="4"/>
        <v>0</v>
      </c>
      <c r="Y7" s="271"/>
      <c r="Z7" s="271"/>
      <c r="AB7" s="273" t="str">
        <f t="shared" si="5"/>
        <v>GoldSafimet S.p.A</v>
      </c>
    </row>
    <row r="8" spans="1:34" s="272" customFormat="1" ht="20.100000000000001" customHeight="1">
      <c r="A8" s="215" t="s">
        <v>2547</v>
      </c>
      <c r="B8" s="215" t="s">
        <v>1130</v>
      </c>
      <c r="C8" s="219" t="s">
        <v>2546</v>
      </c>
      <c r="D8" s="278" t="s">
        <v>2546</v>
      </c>
      <c r="E8" s="215" t="s">
        <v>1099</v>
      </c>
      <c r="F8" s="215" t="str">
        <f ca="1">IF(ISERROR($V8),"",OFFSET('Smelter Look-up'!$E$4,$V8-4,0))</f>
        <v>CID002919</v>
      </c>
      <c r="G8" s="215" t="str">
        <f ca="1">IF(C8=$X$4,"Enter smelter details",IF(ISERROR($V8),"",OFFSET('Smelter Look-up'!$F$4,$V8-4,0)))</f>
        <v>RMI</v>
      </c>
      <c r="H8" s="216" t="s">
        <v>15614</v>
      </c>
      <c r="I8" s="217" t="s">
        <v>2548</v>
      </c>
      <c r="J8" s="217" t="s">
        <v>2549</v>
      </c>
      <c r="K8" s="268"/>
      <c r="L8" s="268"/>
      <c r="M8" s="268"/>
      <c r="N8" s="268" t="s">
        <v>15615</v>
      </c>
      <c r="O8" s="268" t="s">
        <v>15616</v>
      </c>
      <c r="P8" s="218"/>
      <c r="Q8" s="269" t="s">
        <v>15609</v>
      </c>
      <c r="R8" s="215" t="str">
        <f ca="1">IF(ISERROR($V8),"",OFFSET('Smelter Look-up'!$C$4,$V8-4,0)&amp;"")</f>
        <v>Planta Recuperadora de Metales SpA</v>
      </c>
      <c r="S8" s="222" t="str">
        <f t="shared" ca="1" si="3"/>
        <v>CL</v>
      </c>
      <c r="T8" s="222" t="str">
        <f ca="1">IF(B8="","",IF(ISERROR(MATCH($J8,SorP!$B$1:$B$6230,0)),"",INDIRECT("'SorP'!$A$"&amp;MATCH($J8,SorP!$B$1:$B$6230,0))))</f>
        <v>CL-AN</v>
      </c>
      <c r="U8" s="238"/>
      <c r="V8" s="270">
        <f>IF(C8="",NA(),MATCH($B8&amp;$C8,'Smelter Look-up'!$J:$J,0))</f>
        <v>203</v>
      </c>
      <c r="W8" s="271"/>
      <c r="X8" s="271">
        <f t="shared" si="4"/>
        <v>0</v>
      </c>
      <c r="Y8" s="271"/>
      <c r="Z8" s="271"/>
      <c r="AB8" s="273" t="str">
        <f t="shared" si="5"/>
        <v>GoldPlanta Recuperadora de Metales SpA</v>
      </c>
    </row>
    <row r="9" spans="1:34" s="272" customFormat="1" ht="20.100000000000001" customHeight="1">
      <c r="A9" s="215" t="s">
        <v>2483</v>
      </c>
      <c r="B9" s="215" t="s">
        <v>1130</v>
      </c>
      <c r="C9" s="219" t="s">
        <v>13142</v>
      </c>
      <c r="D9" s="278" t="s">
        <v>13142</v>
      </c>
      <c r="E9" s="215" t="s">
        <v>1111</v>
      </c>
      <c r="F9" s="215" t="str">
        <f ca="1">IF(ISERROR($V9),"",OFFSET('Smelter Look-up'!$E$4,$V9-4,0))</f>
        <v>CID002918</v>
      </c>
      <c r="G9" s="215" t="str">
        <f ca="1">IF(C9=$X$4,"Enter smelter details",IF(ISERROR($V9),"",OFFSET('Smelter Look-up'!$F$4,$V9-4,0)))</f>
        <v>RMI</v>
      </c>
      <c r="H9" s="216" t="s">
        <v>15617</v>
      </c>
      <c r="I9" s="217" t="s">
        <v>13158</v>
      </c>
      <c r="J9" s="217" t="s">
        <v>13088</v>
      </c>
      <c r="K9" s="268"/>
      <c r="L9" s="268"/>
      <c r="M9" s="268"/>
      <c r="N9" s="268" t="s">
        <v>15607</v>
      </c>
      <c r="O9" s="268" t="s">
        <v>15618</v>
      </c>
      <c r="P9" s="218"/>
      <c r="Q9" s="269" t="s">
        <v>15609</v>
      </c>
      <c r="R9" s="215" t="str">
        <f ca="1">IF(ISERROR($V9),"",OFFSET('Smelter Look-up'!$C$4,$V9-4,0)&amp;"")</f>
        <v>SungEel HiMetal Co., Ltd.</v>
      </c>
      <c r="S9" s="222" t="str">
        <f t="shared" ca="1" si="3"/>
        <v>KR</v>
      </c>
      <c r="T9" s="222" t="str">
        <f ca="1">IF(B9="","",IF(ISERROR(MATCH($J9,SorP!$B$1:$B$6230,0)),"",INDIRECT("'SorP'!$A$"&amp;MATCH($J9,SorP!$B$1:$B$6230,0))))</f>
        <v>KR-45</v>
      </c>
      <c r="U9" s="238"/>
      <c r="V9" s="270">
        <f>IF(C9="",NA(),MATCH($B9&amp;$C9,'Smelter Look-up'!$J:$J,0))</f>
        <v>260</v>
      </c>
      <c r="W9" s="271"/>
      <c r="X9" s="271">
        <f t="shared" si="4"/>
        <v>0</v>
      </c>
      <c r="Y9" s="271"/>
      <c r="Z9" s="271"/>
      <c r="AB9" s="273" t="str">
        <f t="shared" si="5"/>
        <v>GoldSungEel HiMetal Co., Ltd.</v>
      </c>
    </row>
    <row r="10" spans="1:34" s="272" customFormat="1" ht="20.100000000000001" customHeight="1">
      <c r="A10" s="215" t="s">
        <v>2317</v>
      </c>
      <c r="B10" s="215" t="s">
        <v>1130</v>
      </c>
      <c r="C10" s="219" t="s">
        <v>2316</v>
      </c>
      <c r="D10" s="278" t="s">
        <v>2316</v>
      </c>
      <c r="E10" s="215" t="s">
        <v>1106</v>
      </c>
      <c r="F10" s="215" t="str">
        <f ca="1">IF(ISERROR($V10),"",OFFSET('Smelter Look-up'!$E$4,$V10-4,0))</f>
        <v>CID002863</v>
      </c>
      <c r="G10" s="215" t="str">
        <f ca="1">IF(C10=$X$4,"Enter smelter details",IF(ISERROR($V10),"",OFFSET('Smelter Look-up'!$F$4,$V10-4,0)))</f>
        <v>RMI</v>
      </c>
      <c r="H10" s="216" t="s">
        <v>15619</v>
      </c>
      <c r="I10" s="217" t="s">
        <v>2374</v>
      </c>
      <c r="J10" s="217" t="s">
        <v>2375</v>
      </c>
      <c r="K10" s="268"/>
      <c r="L10" s="268"/>
      <c r="M10" s="268"/>
      <c r="N10" s="268" t="s">
        <v>15620</v>
      </c>
      <c r="O10" s="268" t="s">
        <v>15621</v>
      </c>
      <c r="P10" s="218"/>
      <c r="Q10" s="269" t="s">
        <v>15609</v>
      </c>
      <c r="R10" s="215" t="str">
        <f ca="1">IF(ISERROR($V10),"",OFFSET('Smelter Look-up'!$C$4,$V10-4,0)&amp;"")</f>
        <v>Bangalore Refinery</v>
      </c>
      <c r="S10" s="222" t="str">
        <f t="shared" ca="1" si="3"/>
        <v>IN</v>
      </c>
      <c r="T10" s="222" t="str">
        <f ca="1">IF(B10="","",IF(ISERROR(MATCH($J10,SorP!$B$1:$B$6230,0)),"",INDIRECT("'SorP'!$A$"&amp;MATCH($J10,SorP!$B$1:$B$6230,0))))</f>
        <v>IN-KA</v>
      </c>
      <c r="U10" s="238"/>
      <c r="V10" s="270">
        <f>IF(C10="",NA(),MATCH($B10&amp;$C10,'Smelter Look-up'!$J:$J,0))</f>
        <v>36</v>
      </c>
      <c r="W10" s="271"/>
      <c r="X10" s="271">
        <f t="shared" si="4"/>
        <v>0</v>
      </c>
      <c r="Y10" s="271"/>
      <c r="Z10" s="271"/>
      <c r="AB10" s="273" t="str">
        <f t="shared" si="5"/>
        <v>GoldBangalore Refinery</v>
      </c>
    </row>
    <row r="11" spans="1:34" s="272" customFormat="1" ht="20.100000000000001" customHeight="1">
      <c r="A11" s="215" t="s">
        <v>2313</v>
      </c>
      <c r="B11" s="215" t="s">
        <v>1130</v>
      </c>
      <c r="C11" s="219" t="s">
        <v>2312</v>
      </c>
      <c r="D11" s="278" t="s">
        <v>2312</v>
      </c>
      <c r="E11" s="215" t="s">
        <v>893</v>
      </c>
      <c r="F11" s="215" t="str">
        <f ca="1">IF(ISERROR($V11),"",OFFSET('Smelter Look-up'!$E$4,$V11-4,0))</f>
        <v>CID002850</v>
      </c>
      <c r="G11" s="215" t="str">
        <f ca="1">IF(C11=$X$4,"Enter smelter details",IF(ISERROR($V11),"",OFFSET('Smelter Look-up'!$F$4,$V11-4,0)))</f>
        <v>RMI</v>
      </c>
      <c r="H11" s="216" t="s">
        <v>15622</v>
      </c>
      <c r="I11" s="217" t="s">
        <v>2314</v>
      </c>
      <c r="J11" s="217" t="s">
        <v>1652</v>
      </c>
      <c r="K11" s="268"/>
      <c r="L11" s="268"/>
      <c r="M11" s="268"/>
      <c r="N11" s="268" t="s">
        <v>15612</v>
      </c>
      <c r="O11" s="268" t="s">
        <v>15623</v>
      </c>
      <c r="P11" s="218"/>
      <c r="Q11" s="269" t="s">
        <v>15609</v>
      </c>
      <c r="R11" s="215" t="str">
        <f ca="1">IF(ISERROR($V11),"",OFFSET('Smelter Look-up'!$C$4,$V11-4,0)&amp;"")</f>
        <v>AU Traders and Refiners</v>
      </c>
      <c r="S11" s="222" t="str">
        <f t="shared" ca="1" si="3"/>
        <v>ZA</v>
      </c>
      <c r="T11" s="222" t="str">
        <f ca="1">IF(B11="","",IF(ISERROR(MATCH($J11,SorP!$B$1:$B$6230,0)),"",INDIRECT("'SorP'!$A$"&amp;MATCH($J11,SorP!$B$1:$B$6230,0))))</f>
        <v>ZA-GT</v>
      </c>
      <c r="U11" s="238"/>
      <c r="V11" s="270">
        <f>IF(C11="",NA(),MATCH($B11&amp;$C11,'Smelter Look-up'!$J:$J,0))</f>
        <v>32</v>
      </c>
      <c r="W11" s="271"/>
      <c r="X11" s="271">
        <f t="shared" si="4"/>
        <v>0</v>
      </c>
      <c r="Y11" s="271"/>
      <c r="Z11" s="271"/>
      <c r="AB11" s="273" t="str">
        <f t="shared" si="5"/>
        <v>GoldAU Traders and Refiners</v>
      </c>
    </row>
    <row r="12" spans="1:34" s="272" customFormat="1" ht="20.100000000000001" customHeight="1">
      <c r="A12" s="215" t="s">
        <v>2224</v>
      </c>
      <c r="B12" s="215" t="s">
        <v>1130</v>
      </c>
      <c r="C12" s="219" t="s">
        <v>12647</v>
      </c>
      <c r="D12" s="278" t="s">
        <v>12647</v>
      </c>
      <c r="E12" s="215" t="s">
        <v>1094</v>
      </c>
      <c r="F12" s="215" t="str">
        <f ca="1">IF(ISERROR($V12),"",OFFSET('Smelter Look-up'!$E$4,$V12-4,0))</f>
        <v>CID002779</v>
      </c>
      <c r="G12" s="215" t="str">
        <f ca="1">IF(C12=$X$4,"Enter smelter details",IF(ISERROR($V12),"",OFFSET('Smelter Look-up'!$F$4,$V12-4,0)))</f>
        <v>RMI</v>
      </c>
      <c r="H12" s="216" t="s">
        <v>15624</v>
      </c>
      <c r="I12" s="217" t="s">
        <v>2225</v>
      </c>
      <c r="J12" s="217" t="s">
        <v>2841</v>
      </c>
      <c r="K12" s="268"/>
      <c r="L12" s="268"/>
      <c r="M12" s="268"/>
      <c r="N12" s="268" t="s">
        <v>15625</v>
      </c>
      <c r="O12" s="268" t="s">
        <v>15626</v>
      </c>
      <c r="P12" s="218"/>
      <c r="Q12" s="269" t="s">
        <v>15609</v>
      </c>
      <c r="R12" s="215" t="str">
        <f ca="1">IF(ISERROR($V12),"",OFFSET('Smelter Look-up'!$C$4,$V12-4,0)&amp;"")</f>
        <v>Ogussa Osterreichische Gold- und Silber-Scheideanstalt GmbH</v>
      </c>
      <c r="S12" s="222" t="str">
        <f t="shared" ca="1" si="3"/>
        <v>AT</v>
      </c>
      <c r="T12" s="222" t="str">
        <f ca="1">IF(B12="","",IF(ISERROR(MATCH($J12,SorP!$B$1:$B$6230,0)),"",INDIRECT("'SorP'!$A$"&amp;MATCH($J12,SorP!$B$1:$B$6230,0))))</f>
        <v>AT-9</v>
      </c>
      <c r="U12" s="238"/>
      <c r="V12" s="270">
        <f>IF(C12="",NA(),MATCH($B12&amp;$C12,'Smelter Look-up'!$J:$J,0))</f>
        <v>191</v>
      </c>
      <c r="W12" s="271"/>
      <c r="X12" s="271">
        <f t="shared" si="4"/>
        <v>0</v>
      </c>
      <c r="Y12" s="271"/>
      <c r="Z12" s="271"/>
      <c r="AB12" s="273" t="str">
        <f t="shared" si="5"/>
        <v>GoldOgussa Osterreichische Gold- und Silber-Scheideanstalt GmbH</v>
      </c>
    </row>
    <row r="13" spans="1:34" s="272" customFormat="1" ht="20.100000000000001" customHeight="1">
      <c r="A13" s="215" t="s">
        <v>2223</v>
      </c>
      <c r="B13" s="215" t="s">
        <v>1130</v>
      </c>
      <c r="C13" s="219" t="s">
        <v>2220</v>
      </c>
      <c r="D13" s="278" t="s">
        <v>2220</v>
      </c>
      <c r="E13" s="215" t="s">
        <v>1101</v>
      </c>
      <c r="F13" s="215" t="str">
        <f ca="1">IF(ISERROR($V13),"",OFFSET('Smelter Look-up'!$E$4,$V13-4,0))</f>
        <v>CID002778</v>
      </c>
      <c r="G13" s="215" t="str">
        <f ca="1">IF(C13=$X$4,"Enter smelter details",IF(ISERROR($V13),"",OFFSET('Smelter Look-up'!$F$4,$V13-4,0)))</f>
        <v>RMI</v>
      </c>
      <c r="H13" s="216" t="s">
        <v>15627</v>
      </c>
      <c r="I13" s="217" t="s">
        <v>1549</v>
      </c>
      <c r="J13" s="217" t="s">
        <v>1550</v>
      </c>
      <c r="K13" s="268"/>
      <c r="L13" s="268"/>
      <c r="M13" s="268"/>
      <c r="N13" s="268" t="s">
        <v>15628</v>
      </c>
      <c r="O13" s="268" t="s">
        <v>15629</v>
      </c>
      <c r="P13" s="218"/>
      <c r="Q13" s="269" t="s">
        <v>15609</v>
      </c>
      <c r="R13" s="215" t="str">
        <f ca="1">IF(ISERROR($V13),"",OFFSET('Smelter Look-up'!$C$4,$V13-4,0)&amp;"")</f>
        <v>WIELAND Edelmetalle GmbH</v>
      </c>
      <c r="S13" s="222" t="str">
        <f t="shared" ca="1" si="3"/>
        <v>DE</v>
      </c>
      <c r="T13" s="222" t="str">
        <f ca="1">IF(B13="","",IF(ISERROR(MATCH($J13,SorP!$B$1:$B$6230,0)),"",INDIRECT("'SorP'!$A$"&amp;MATCH($J13,SorP!$B$1:$B$6230,0))))</f>
        <v>DE-BW</v>
      </c>
      <c r="U13" s="238"/>
      <c r="V13" s="270">
        <f>IF(C13="",NA(),MATCH($B13&amp;$C13,'Smelter Look-up'!$J:$J,0))</f>
        <v>292</v>
      </c>
      <c r="W13" s="271"/>
      <c r="X13" s="271">
        <f t="shared" si="4"/>
        <v>0</v>
      </c>
      <c r="Y13" s="271"/>
      <c r="Z13" s="271"/>
      <c r="AB13" s="273" t="str">
        <f t="shared" si="5"/>
        <v>GoldWIELAND Edelmetalle GmbH</v>
      </c>
    </row>
    <row r="14" spans="1:34" s="272" customFormat="1" ht="20.100000000000001" customHeight="1">
      <c r="A14" s="215" t="s">
        <v>2222</v>
      </c>
      <c r="B14" s="215" t="s">
        <v>1130</v>
      </c>
      <c r="C14" s="219" t="s">
        <v>2219</v>
      </c>
      <c r="D14" s="278" t="s">
        <v>2219</v>
      </c>
      <c r="E14" s="215" t="s">
        <v>1101</v>
      </c>
      <c r="F14" s="215" t="str">
        <f ca="1">IF(ISERROR($V14),"",OFFSET('Smelter Look-up'!$E$4,$V14-4,0))</f>
        <v>CID002777</v>
      </c>
      <c r="G14" s="215" t="str">
        <f ca="1">IF(C14=$X$4,"Enter smelter details",IF(ISERROR($V14),"",OFFSET('Smelter Look-up'!$F$4,$V14-4,0)))</f>
        <v>RMI</v>
      </c>
      <c r="H14" s="216" t="s">
        <v>15630</v>
      </c>
      <c r="I14" s="217" t="s">
        <v>15631</v>
      </c>
      <c r="J14" s="217" t="s">
        <v>4271</v>
      </c>
      <c r="K14" s="268"/>
      <c r="L14" s="268"/>
      <c r="M14" s="268"/>
      <c r="N14" s="268" t="s">
        <v>15632</v>
      </c>
      <c r="O14" s="268" t="s">
        <v>15633</v>
      </c>
      <c r="P14" s="218"/>
      <c r="Q14" s="269" t="s">
        <v>15609</v>
      </c>
      <c r="R14" s="215" t="str">
        <f ca="1">IF(ISERROR($V14),"",OFFSET('Smelter Look-up'!$C$4,$V14-4,0)&amp;"")</f>
        <v>SAXONIA Edelmetalle GmbH</v>
      </c>
      <c r="S14" s="222" t="str">
        <f t="shared" ca="1" si="3"/>
        <v>DE</v>
      </c>
      <c r="T14" s="222" t="str">
        <f ca="1">IF(B14="","",IF(ISERROR(MATCH($J14,SorP!$B$1:$B$6230,0)),"",INDIRECT("'SorP'!$A$"&amp;MATCH($J14,SorP!$B$1:$B$6230,0))))</f>
        <v>DE-SN</v>
      </c>
      <c r="U14" s="238"/>
      <c r="V14" s="270">
        <f>IF(C14="",NA(),MATCH($B14&amp;$C14,'Smelter Look-up'!$J:$J,0))</f>
        <v>226</v>
      </c>
      <c r="W14" s="271"/>
      <c r="X14" s="271">
        <f t="shared" si="4"/>
        <v>0</v>
      </c>
      <c r="Y14" s="271"/>
      <c r="Z14" s="271"/>
      <c r="AB14" s="273" t="str">
        <f t="shared" si="5"/>
        <v>GoldSAXONIA Edelmetalle GmbH</v>
      </c>
    </row>
    <row r="15" spans="1:34" s="272" customFormat="1" ht="20.100000000000001" customHeight="1">
      <c r="A15" s="215" t="s">
        <v>2535</v>
      </c>
      <c r="B15" s="215" t="s">
        <v>1130</v>
      </c>
      <c r="C15" s="219" t="s">
        <v>2534</v>
      </c>
      <c r="D15" s="278" t="s">
        <v>2534</v>
      </c>
      <c r="E15" s="215" t="s">
        <v>1107</v>
      </c>
      <c r="F15" s="215" t="str">
        <f ca="1">IF(ISERROR($V15),"",OFFSET('Smelter Look-up'!$E$4,$V15-4,0))</f>
        <v>CID002765</v>
      </c>
      <c r="G15" s="215" t="str">
        <f ca="1">IF(C15=$X$4,"Enter smelter details",IF(ISERROR($V15),"",OFFSET('Smelter Look-up'!$F$4,$V15-4,0)))</f>
        <v>RMI</v>
      </c>
      <c r="H15" s="216" t="s">
        <v>15611</v>
      </c>
      <c r="I15" s="217" t="s">
        <v>1576</v>
      </c>
      <c r="J15" s="217" t="s">
        <v>6576</v>
      </c>
      <c r="K15" s="268"/>
      <c r="L15" s="268"/>
      <c r="M15" s="268"/>
      <c r="N15" s="268" t="s">
        <v>15612</v>
      </c>
      <c r="O15" s="268" t="s">
        <v>15634</v>
      </c>
      <c r="P15" s="218"/>
      <c r="Q15" s="269" t="s">
        <v>15609</v>
      </c>
      <c r="R15" s="215" t="str">
        <f ca="1">IF(ISERROR($V15),"",OFFSET('Smelter Look-up'!$C$4,$V15-4,0)&amp;"")</f>
        <v>Italpreziosi</v>
      </c>
      <c r="S15" s="222" t="str">
        <f t="shared" ca="1" si="3"/>
        <v>IT</v>
      </c>
      <c r="T15" s="222" t="str">
        <f ca="1">IF(B15="","",IF(ISERROR(MATCH($J15,SorP!$B$1:$B$6230,0)),"",INDIRECT("'SorP'!$A$"&amp;MATCH($J15,SorP!$B$1:$B$6230,0))))</f>
        <v>IT-52</v>
      </c>
      <c r="U15" s="238"/>
      <c r="V15" s="270">
        <f>IF(C15="",NA(),MATCH($B15&amp;$C15,'Smelter Look-up'!$J:$J,0))</f>
        <v>116</v>
      </c>
      <c r="W15" s="271"/>
      <c r="X15" s="271">
        <f t="shared" si="4"/>
        <v>0</v>
      </c>
      <c r="Y15" s="271"/>
      <c r="Z15" s="271"/>
      <c r="AB15" s="273" t="str">
        <f t="shared" si="5"/>
        <v>GoldItalpreziosi</v>
      </c>
    </row>
    <row r="16" spans="1:34" s="272" customFormat="1" ht="20.100000000000001" customHeight="1">
      <c r="A16" s="215" t="s">
        <v>14006</v>
      </c>
      <c r="B16" s="215" t="s">
        <v>1130</v>
      </c>
      <c r="C16" s="219" t="s">
        <v>14005</v>
      </c>
      <c r="D16" s="278" t="s">
        <v>14005</v>
      </c>
      <c r="E16" s="215" t="s">
        <v>1107</v>
      </c>
      <c r="F16" s="215" t="str">
        <f ca="1">IF(ISERROR($V16),"",OFFSET('Smelter Look-up'!$E$4,$V16-4,0))</f>
        <v>CID002763</v>
      </c>
      <c r="G16" s="215" t="str">
        <f ca="1">IF(C16=$X$4,"Enter smelter details",IF(ISERROR($V16),"",OFFSET('Smelter Look-up'!$F$4,$V16-4,0)))</f>
        <v>RMI</v>
      </c>
      <c r="H16" s="216" t="s">
        <v>15635</v>
      </c>
      <c r="I16" s="217" t="s">
        <v>14053</v>
      </c>
      <c r="J16" s="217" t="s">
        <v>6520</v>
      </c>
      <c r="K16" s="268"/>
      <c r="L16" s="268"/>
      <c r="M16" s="268"/>
      <c r="N16" s="268" t="s">
        <v>15612</v>
      </c>
      <c r="O16" s="268" t="s">
        <v>15636</v>
      </c>
      <c r="P16" s="218"/>
      <c r="Q16" s="269" t="s">
        <v>15609</v>
      </c>
      <c r="R16" s="215" t="str">
        <f ca="1">IF(ISERROR($V16),"",OFFSET('Smelter Look-up'!$C$4,$V16-4,0)&amp;"")</f>
        <v>8853 S.p.A.</v>
      </c>
      <c r="S16" s="222" t="str">
        <f t="shared" ca="1" si="3"/>
        <v>IT</v>
      </c>
      <c r="T16" s="222" t="str">
        <f ca="1">IF(B16="","",IF(ISERROR(MATCH($J16,SorP!$B$1:$B$6230,0)),"",INDIRECT("'SorP'!$A$"&amp;MATCH($J16,SorP!$B$1:$B$6230,0))))</f>
        <v>IT-25</v>
      </c>
      <c r="U16" s="238"/>
      <c r="V16" s="270">
        <f>IF(C16="",NA(),MATCH($B16&amp;$C16,'Smelter Look-up'!$J:$J,0))</f>
        <v>5</v>
      </c>
      <c r="W16" s="271"/>
      <c r="X16" s="271">
        <f t="shared" si="4"/>
        <v>0</v>
      </c>
      <c r="Y16" s="271"/>
      <c r="Z16" s="271"/>
      <c r="AB16" s="273" t="str">
        <f t="shared" si="5"/>
        <v>Gold8853 S.p.A.</v>
      </c>
    </row>
    <row r="17" spans="1:28" s="272" customFormat="1" ht="20.100000000000001" customHeight="1">
      <c r="A17" s="215" t="s">
        <v>2471</v>
      </c>
      <c r="B17" s="215" t="s">
        <v>1130</v>
      </c>
      <c r="C17" s="219" t="s">
        <v>2470</v>
      </c>
      <c r="D17" s="278" t="s">
        <v>2470</v>
      </c>
      <c r="E17" s="215" t="s">
        <v>1091</v>
      </c>
      <c r="F17" s="215" t="str">
        <f ca="1">IF(ISERROR($V17),"",OFFSET('Smelter Look-up'!$E$4,$V17-4,0))</f>
        <v>CID002762</v>
      </c>
      <c r="G17" s="215" t="str">
        <f ca="1">IF(C17=$X$4,"Enter smelter details",IF(ISERROR($V17),"",OFFSET('Smelter Look-up'!$F$4,$V17-4,0)))</f>
        <v>RMI</v>
      </c>
      <c r="H17" s="216" t="s">
        <v>15637</v>
      </c>
      <c r="I17" s="217" t="s">
        <v>15637</v>
      </c>
      <c r="J17" s="217" t="s">
        <v>15637</v>
      </c>
      <c r="K17" s="268"/>
      <c r="L17" s="268"/>
      <c r="M17" s="268"/>
      <c r="N17" s="268" t="s">
        <v>15638</v>
      </c>
      <c r="O17" s="268" t="s">
        <v>15639</v>
      </c>
      <c r="P17" s="218"/>
      <c r="Q17" s="269" t="s">
        <v>15609</v>
      </c>
      <c r="R17" s="215" t="str">
        <f ca="1">IF(ISERROR($V17),"",OFFSET('Smelter Look-up'!$C$4,$V17-4,0)&amp;"")</f>
        <v>L'Orfebre S.A.</v>
      </c>
      <c r="S17" s="222" t="str">
        <f t="shared" ca="1" si="3"/>
        <v>AD</v>
      </c>
      <c r="T17" s="222" t="str">
        <f ca="1">IF(B17="","",IF(ISERROR(MATCH($J17,SorP!$B$1:$B$6230,0)),"",INDIRECT("'SorP'!$A$"&amp;MATCH($J17,SorP!$B$1:$B$6230,0))))</f>
        <v/>
      </c>
      <c r="U17" s="238"/>
      <c r="V17" s="270">
        <f>IF(C17="",NA(),MATCH($B17&amp;$C17,'Smelter Look-up'!$J:$J,0))</f>
        <v>152</v>
      </c>
      <c r="W17" s="271"/>
      <c r="X17" s="271">
        <f t="shared" si="4"/>
        <v>0</v>
      </c>
      <c r="Y17" s="271"/>
      <c r="Z17" s="271"/>
      <c r="AB17" s="273" t="str">
        <f t="shared" si="5"/>
        <v>GoldL'Orfebre S.A.</v>
      </c>
    </row>
    <row r="18" spans="1:28" s="272" customFormat="1" ht="20.100000000000001" customHeight="1">
      <c r="A18" s="215" t="s">
        <v>2278</v>
      </c>
      <c r="B18" s="215" t="s">
        <v>1130</v>
      </c>
      <c r="C18" s="219" t="s">
        <v>2277</v>
      </c>
      <c r="D18" s="278" t="s">
        <v>2277</v>
      </c>
      <c r="E18" s="215" t="s">
        <v>1104</v>
      </c>
      <c r="F18" s="215" t="str">
        <f ca="1">IF(ISERROR($V18),"",OFFSET('Smelter Look-up'!$E$4,$V18-4,0))</f>
        <v>CID002761</v>
      </c>
      <c r="G18" s="215" t="str">
        <f ca="1">IF(C18=$X$4,"Enter smelter details",IF(ISERROR($V18),"",OFFSET('Smelter Look-up'!$F$4,$V18-4,0)))</f>
        <v>RMI</v>
      </c>
      <c r="H18" s="216" t="s">
        <v>15640</v>
      </c>
      <c r="I18" s="217" t="s">
        <v>2279</v>
      </c>
      <c r="J18" s="217" t="s">
        <v>4932</v>
      </c>
      <c r="K18" s="268"/>
      <c r="L18" s="268"/>
      <c r="M18" s="268"/>
      <c r="N18" s="268" t="s">
        <v>15612</v>
      </c>
      <c r="O18" s="268" t="s">
        <v>15641</v>
      </c>
      <c r="P18" s="218"/>
      <c r="Q18" s="269" t="s">
        <v>15609</v>
      </c>
      <c r="R18" s="215" t="str">
        <f ca="1">IF(ISERROR($V18),"",OFFSET('Smelter Look-up'!$C$4,$V18-4,0)&amp;"")</f>
        <v>SAAMP</v>
      </c>
      <c r="S18" s="222" t="str">
        <f t="shared" ca="1" si="3"/>
        <v>FR</v>
      </c>
      <c r="T18" s="222" t="str">
        <f ca="1">IF(B18="","",IF(ISERROR(MATCH($J18,SorP!$B$1:$B$6230,0)),"",INDIRECT("'SorP'!$A$"&amp;MATCH($J18,SorP!$B$1:$B$6230,0))))</f>
        <v>FR-IDF</v>
      </c>
      <c r="U18" s="238"/>
      <c r="V18" s="270">
        <f>IF(C18="",NA(),MATCH($B18&amp;$C18,'Smelter Look-up'!$J:$J,0))</f>
        <v>216</v>
      </c>
      <c r="W18" s="271"/>
      <c r="X18" s="271">
        <f t="shared" si="4"/>
        <v>0</v>
      </c>
      <c r="Y18" s="271"/>
      <c r="Z18" s="271"/>
      <c r="AB18" s="273" t="str">
        <f t="shared" si="5"/>
        <v>GoldSAAMP</v>
      </c>
    </row>
    <row r="19" spans="1:28" s="272" customFormat="1" ht="51">
      <c r="A19" s="215" t="s">
        <v>2355</v>
      </c>
      <c r="B19" s="215" t="s">
        <v>1130</v>
      </c>
      <c r="C19" s="219" t="s">
        <v>2354</v>
      </c>
      <c r="D19" s="278" t="s">
        <v>2354</v>
      </c>
      <c r="E19" s="215" t="s">
        <v>1109</v>
      </c>
      <c r="F19" s="215" t="str">
        <f ca="1">IF(ISERROR($V19),"",OFFSET('Smelter Look-up'!$E$4,$V19-4,0))</f>
        <v>CID002615</v>
      </c>
      <c r="G19" s="215" t="str">
        <f ca="1">IF(C19=$X$4,"Enter smelter details",IF(ISERROR($V19),"",OFFSET('Smelter Look-up'!$F$4,$V19-4,0)))</f>
        <v>RMI</v>
      </c>
      <c r="H19" s="216" t="s">
        <v>15642</v>
      </c>
      <c r="I19" s="217" t="s">
        <v>2356</v>
      </c>
      <c r="J19" s="217" t="s">
        <v>2357</v>
      </c>
      <c r="K19" s="268"/>
      <c r="L19" s="268"/>
      <c r="M19" s="268"/>
      <c r="N19" s="268" t="s">
        <v>15612</v>
      </c>
      <c r="O19" s="268" t="s">
        <v>15643</v>
      </c>
      <c r="P19" s="218"/>
      <c r="Q19" s="269" t="s">
        <v>15609</v>
      </c>
      <c r="R19" s="215" t="str">
        <f ca="1">IF(ISERROR($V19),"",OFFSET('Smelter Look-up'!$C$4,$V19-4,0)&amp;"")</f>
        <v>TOO Tau-Ken-Altyn</v>
      </c>
      <c r="S19" s="222" t="str">
        <f t="shared" ca="1" si="3"/>
        <v>KZ</v>
      </c>
      <c r="T19" s="222" t="str">
        <f ca="1">IF(B19="","",IF(ISERROR(MATCH($J19,SorP!$B$1:$B$6230,0)),"",INDIRECT("'SorP'!$A$"&amp;MATCH($J19,SorP!$B$1:$B$6230,0))))</f>
        <v>KZ-ALA</v>
      </c>
      <c r="U19" s="238"/>
      <c r="V19" s="270">
        <f>IF(C19="",NA(),MATCH($B19&amp;$C19,'Smelter Look-up'!$J:$J,0))</f>
        <v>280</v>
      </c>
      <c r="W19" s="271"/>
      <c r="X19" s="271">
        <f t="shared" si="4"/>
        <v>0</v>
      </c>
      <c r="Y19" s="271"/>
      <c r="Z19" s="271"/>
      <c r="AB19" s="273" t="str">
        <f t="shared" si="5"/>
        <v>GoldTOO Tau-Ken-Altyn</v>
      </c>
    </row>
    <row r="20" spans="1:28" s="272" customFormat="1" ht="140.25">
      <c r="A20" s="215" t="s">
        <v>2541</v>
      </c>
      <c r="B20" s="215" t="s">
        <v>1130</v>
      </c>
      <c r="C20" s="219" t="s">
        <v>2540</v>
      </c>
      <c r="D20" s="278" t="s">
        <v>2540</v>
      </c>
      <c r="E20" s="215" t="s">
        <v>1096</v>
      </c>
      <c r="F20" s="215" t="str">
        <f ca="1">IF(ISERROR($V20),"",OFFSET('Smelter Look-up'!$E$4,$V20-4,0))</f>
        <v>CID002606</v>
      </c>
      <c r="G20" s="215" t="str">
        <f ca="1">IF(C20=$X$4,"Enter smelter details",IF(ISERROR($V20),"",OFFSET('Smelter Look-up'!$F$4,$V20-4,0)))</f>
        <v>RMI</v>
      </c>
      <c r="H20" s="216" t="s">
        <v>15644</v>
      </c>
      <c r="I20" s="217" t="s">
        <v>2542</v>
      </c>
      <c r="J20" s="217" t="s">
        <v>1683</v>
      </c>
      <c r="K20" s="268"/>
      <c r="L20" s="268"/>
      <c r="M20" s="268"/>
      <c r="N20" s="268" t="s">
        <v>15620</v>
      </c>
      <c r="O20" s="268" t="s">
        <v>15645</v>
      </c>
      <c r="P20" s="218"/>
      <c r="Q20" s="269" t="s">
        <v>15609</v>
      </c>
      <c r="R20" s="215" t="str">
        <f ca="1">IF(ISERROR($V20),"",OFFSET('Smelter Look-up'!$C$4,$V20-4,0)&amp;"")</f>
        <v>Marsam Metals</v>
      </c>
      <c r="S20" s="222" t="str">
        <f t="shared" ca="1" si="3"/>
        <v>BR</v>
      </c>
      <c r="T20" s="222" t="str">
        <f ca="1">IF(B20="","",IF(ISERROR(MATCH($J20,SorP!$B$1:$B$6230,0)),"",INDIRECT("'SorP'!$A$"&amp;MATCH($J20,SorP!$B$1:$B$6230,0))))</f>
        <v>BR-SP</v>
      </c>
      <c r="U20" s="238"/>
      <c r="V20" s="270">
        <f>IF(C20="",NA(),MATCH($B20&amp;$C20,'Smelter Look-up'!$J:$J,0))</f>
        <v>158</v>
      </c>
      <c r="W20" s="271"/>
      <c r="X20" s="271">
        <f t="shared" si="4"/>
        <v>0</v>
      </c>
      <c r="Y20" s="271"/>
      <c r="Z20" s="271"/>
      <c r="AB20" s="273" t="str">
        <f t="shared" si="5"/>
        <v>GoldMarsam Metals</v>
      </c>
    </row>
    <row r="21" spans="1:28" s="272" customFormat="1" ht="76.5">
      <c r="A21" s="215" t="s">
        <v>1724</v>
      </c>
      <c r="B21" s="215" t="s">
        <v>1130</v>
      </c>
      <c r="C21" s="219" t="s">
        <v>2328</v>
      </c>
      <c r="D21" s="278" t="s">
        <v>2328</v>
      </c>
      <c r="E21" s="215" t="s">
        <v>1111</v>
      </c>
      <c r="F21" s="215" t="str">
        <f ca="1">IF(ISERROR($V21),"",OFFSET('Smelter Look-up'!$E$4,$V21-4,0))</f>
        <v>CID002605</v>
      </c>
      <c r="G21" s="215" t="str">
        <f ca="1">IF(C21=$X$4,"Enter smelter details",IF(ISERROR($V21),"",OFFSET('Smelter Look-up'!$F$4,$V21-4,0)))</f>
        <v>RMI</v>
      </c>
      <c r="H21" s="216" t="s">
        <v>15646</v>
      </c>
      <c r="I21" s="217" t="s">
        <v>1725</v>
      </c>
      <c r="J21" s="217" t="s">
        <v>13091</v>
      </c>
      <c r="K21" s="268"/>
      <c r="L21" s="268"/>
      <c r="M21" s="268"/>
      <c r="N21" s="268" t="s">
        <v>15615</v>
      </c>
      <c r="O21" s="268" t="s">
        <v>15647</v>
      </c>
      <c r="P21" s="218"/>
      <c r="Q21" s="269" t="s">
        <v>15609</v>
      </c>
      <c r="R21" s="215" t="str">
        <f ca="1">IF(ISERROR($V21),"",OFFSET('Smelter Look-up'!$C$4,$V21-4,0)&amp;"")</f>
        <v>Korea Zinc Co., Ltd.</v>
      </c>
      <c r="S21" s="222" t="str">
        <f t="shared" ca="1" si="3"/>
        <v>KR</v>
      </c>
      <c r="T21" s="222" t="str">
        <f ca="1">IF(B21="","",IF(ISERROR(MATCH($J21,SorP!$B$1:$B$6230,0)),"",INDIRECT("'SorP'!$A$"&amp;MATCH($J21,SorP!$B$1:$B$6230,0))))</f>
        <v>KR-11</v>
      </c>
      <c r="U21" s="238"/>
      <c r="V21" s="270">
        <f>IF(C21="",NA(),MATCH($B21&amp;$C21,'Smelter Look-up'!$J:$J,0))</f>
        <v>140</v>
      </c>
      <c r="W21" s="271"/>
      <c r="X21" s="271">
        <f t="shared" si="4"/>
        <v>0</v>
      </c>
      <c r="Y21" s="271"/>
      <c r="Z21" s="271"/>
      <c r="AB21" s="273" t="str">
        <f t="shared" si="5"/>
        <v>GoldKorea Zinc Co., Ltd.</v>
      </c>
    </row>
    <row r="22" spans="1:28" s="272" customFormat="1" ht="76.5">
      <c r="A22" s="215" t="s">
        <v>2342</v>
      </c>
      <c r="B22" s="215" t="s">
        <v>1130</v>
      </c>
      <c r="C22" s="219" t="s">
        <v>14016</v>
      </c>
      <c r="D22" s="278" t="s">
        <v>14016</v>
      </c>
      <c r="E22" s="215" t="s">
        <v>1116</v>
      </c>
      <c r="F22" s="215" t="str">
        <f ca="1">IF(ISERROR($V22),"",OFFSET('Smelter Look-up'!$E$4,$V22-4,0))</f>
        <v>CID002582</v>
      </c>
      <c r="G22" s="215" t="str">
        <f ca="1">IF(C22=$X$4,"Enter smelter details",IF(ISERROR($V22),"",OFFSET('Smelter Look-up'!$F$4,$V22-4,0)))</f>
        <v>RMI</v>
      </c>
      <c r="H22" s="216" t="s">
        <v>15648</v>
      </c>
      <c r="I22" s="217" t="s">
        <v>2378</v>
      </c>
      <c r="J22" s="217" t="s">
        <v>9077</v>
      </c>
      <c r="K22" s="268"/>
      <c r="L22" s="268"/>
      <c r="M22" s="268"/>
      <c r="N22" s="268" t="s">
        <v>15607</v>
      </c>
      <c r="O22" s="268" t="s">
        <v>15649</v>
      </c>
      <c r="P22" s="218"/>
      <c r="Q22" s="269" t="s">
        <v>15609</v>
      </c>
      <c r="R22" s="215" t="str">
        <f ca="1">IF(ISERROR($V22),"",OFFSET('Smelter Look-up'!$C$4,$V22-4,0)&amp;"")</f>
        <v>REMONDIS PMR B.V.</v>
      </c>
      <c r="S22" s="222" t="str">
        <f t="shared" ca="1" si="3"/>
        <v>NL</v>
      </c>
      <c r="T22" s="222" t="str">
        <f ca="1">IF(B22="","",IF(ISERROR(MATCH($J22,SorP!$B$1:$B$6230,0)),"",INDIRECT("'SorP'!$A$"&amp;MATCH($J22,SorP!$B$1:$B$6230,0))))</f>
        <v>NL-NB</v>
      </c>
      <c r="U22" s="238"/>
      <c r="V22" s="270">
        <f>IF(C22="",NA(),MATCH($B22&amp;$C22,'Smelter Look-up'!$J:$J,0))</f>
        <v>214</v>
      </c>
      <c r="W22" s="271"/>
      <c r="X22" s="271">
        <f t="shared" si="4"/>
        <v>0</v>
      </c>
      <c r="Y22" s="271"/>
      <c r="Z22" s="271"/>
      <c r="AB22" s="273" t="str">
        <f t="shared" si="5"/>
        <v>GoldREMONDIS PMR B.V.</v>
      </c>
    </row>
    <row r="23" spans="1:28" s="272" customFormat="1" ht="51">
      <c r="A23" s="215" t="s">
        <v>1722</v>
      </c>
      <c r="B23" s="215" t="s">
        <v>1130</v>
      </c>
      <c r="C23" s="219" t="s">
        <v>2234</v>
      </c>
      <c r="D23" s="278" t="s">
        <v>2234</v>
      </c>
      <c r="E23" s="215" t="s">
        <v>1107</v>
      </c>
      <c r="F23" s="215" t="str">
        <f ca="1">IF(ISERROR($V23),"",OFFSET('Smelter Look-up'!$E$4,$V23-4,0))</f>
        <v>CID002580</v>
      </c>
      <c r="G23" s="215" t="str">
        <f ca="1">IF(C23=$X$4,"Enter smelter details",IF(ISERROR($V23),"",OFFSET('Smelter Look-up'!$F$4,$V23-4,0)))</f>
        <v>RMI</v>
      </c>
      <c r="H23" s="216" t="s">
        <v>15650</v>
      </c>
      <c r="I23" s="217" t="s">
        <v>1723</v>
      </c>
      <c r="J23" s="217" t="s">
        <v>6576</v>
      </c>
      <c r="K23" s="268"/>
      <c r="L23" s="268"/>
      <c r="M23" s="268"/>
      <c r="N23" s="268" t="s">
        <v>15612</v>
      </c>
      <c r="O23" s="268" t="s">
        <v>15651</v>
      </c>
      <c r="P23" s="218"/>
      <c r="Q23" s="269" t="s">
        <v>15609</v>
      </c>
      <c r="R23" s="215" t="str">
        <f ca="1">IF(ISERROR($V23),"",OFFSET('Smelter Look-up'!$C$4,$V23-4,0)&amp;"")</f>
        <v>T.C.A S.p.A</v>
      </c>
      <c r="S23" s="222" t="str">
        <f t="shared" ca="1" si="3"/>
        <v>IT</v>
      </c>
      <c r="T23" s="222" t="str">
        <f ca="1">IF(B23="","",IF(ISERROR(MATCH($J23,SorP!$B$1:$B$6230,0)),"",INDIRECT("'SorP'!$A$"&amp;MATCH($J23,SorP!$B$1:$B$6230,0))))</f>
        <v>IT-52</v>
      </c>
      <c r="U23" s="238"/>
      <c r="V23" s="270">
        <f>IF(C23="",NA(),MATCH($B23&amp;$C23,'Smelter Look-up'!$J:$J,0))</f>
        <v>262</v>
      </c>
      <c r="W23" s="271"/>
      <c r="X23" s="271">
        <f t="shared" si="4"/>
        <v>0</v>
      </c>
      <c r="Y23" s="271"/>
      <c r="Z23" s="271"/>
      <c r="AB23" s="273" t="str">
        <f t="shared" si="5"/>
        <v>GoldT.C.A S.p.A</v>
      </c>
    </row>
    <row r="24" spans="1:28" s="272" customFormat="1" ht="102">
      <c r="A24" s="215" t="s">
        <v>1716</v>
      </c>
      <c r="B24" s="215" t="s">
        <v>1130</v>
      </c>
      <c r="C24" s="219" t="s">
        <v>1715</v>
      </c>
      <c r="D24" s="278" t="s">
        <v>1715</v>
      </c>
      <c r="E24" s="215" t="s">
        <v>1092</v>
      </c>
      <c r="F24" s="215" t="str">
        <f ca="1">IF(ISERROR($V24),"",OFFSET('Smelter Look-up'!$E$4,$V24-4,0))</f>
        <v>CID002561</v>
      </c>
      <c r="G24" s="215" t="str">
        <f ca="1">IF(C24=$X$4,"Enter smelter details",IF(ISERROR($V24),"",OFFSET('Smelter Look-up'!$F$4,$V24-4,0)))</f>
        <v>RMI</v>
      </c>
      <c r="H24" s="216" t="s">
        <v>15652</v>
      </c>
      <c r="I24" s="217" t="s">
        <v>1714</v>
      </c>
      <c r="J24" s="217" t="s">
        <v>2610</v>
      </c>
      <c r="K24" s="268"/>
      <c r="L24" s="268"/>
      <c r="M24" s="268"/>
      <c r="N24" s="268" t="s">
        <v>15653</v>
      </c>
      <c r="O24" s="268" t="s">
        <v>15654</v>
      </c>
      <c r="P24" s="218"/>
      <c r="Q24" s="269" t="s">
        <v>15609</v>
      </c>
      <c r="R24" s="215" t="str">
        <f ca="1">IF(ISERROR($V24),"",OFFSET('Smelter Look-up'!$C$4,$V24-4,0)&amp;"")</f>
        <v>Emirates Gold DMCC</v>
      </c>
      <c r="S24" s="222" t="str">
        <f t="shared" ca="1" si="3"/>
        <v>AE</v>
      </c>
      <c r="T24" s="222" t="str">
        <f ca="1">IF(B24="","",IF(ISERROR(MATCH($J24,SorP!$B$1:$B$6230,0)),"",INDIRECT("'SorP'!$A$"&amp;MATCH($J24,SorP!$B$1:$B$6230,0))))</f>
        <v>AE-DU</v>
      </c>
      <c r="U24" s="238"/>
      <c r="V24" s="270">
        <f>IF(C24="",NA(),MATCH($B24&amp;$C24,'Smelter Look-up'!$J:$J,0))</f>
        <v>78</v>
      </c>
      <c r="W24" s="271"/>
      <c r="X24" s="271">
        <f t="shared" si="4"/>
        <v>0</v>
      </c>
      <c r="Y24" s="271"/>
      <c r="Z24" s="271"/>
      <c r="AB24" s="273" t="str">
        <f t="shared" si="5"/>
        <v>GoldEmirates Gold DMCC</v>
      </c>
    </row>
    <row r="25" spans="1:28" s="272" customFormat="1" ht="165.75">
      <c r="A25" s="215" t="s">
        <v>1713</v>
      </c>
      <c r="B25" s="215" t="s">
        <v>1130</v>
      </c>
      <c r="C25" s="219" t="s">
        <v>1712</v>
      </c>
      <c r="D25" s="278" t="s">
        <v>1712</v>
      </c>
      <c r="E25" s="215" t="s">
        <v>1092</v>
      </c>
      <c r="F25" s="215" t="str">
        <f ca="1">IF(ISERROR($V25),"",OFFSET('Smelter Look-up'!$E$4,$V25-4,0))</f>
        <v>CID002560</v>
      </c>
      <c r="G25" s="215" t="str">
        <f ca="1">IF(C25=$X$4,"Enter smelter details",IF(ISERROR($V25),"",OFFSET('Smelter Look-up'!$F$4,$V25-4,0)))</f>
        <v>RMI</v>
      </c>
      <c r="H25" s="216" t="s">
        <v>15652</v>
      </c>
      <c r="I25" s="217" t="s">
        <v>1714</v>
      </c>
      <c r="J25" s="217" t="s">
        <v>2610</v>
      </c>
      <c r="K25" s="268"/>
      <c r="L25" s="268"/>
      <c r="M25" s="268"/>
      <c r="N25" s="268" t="s">
        <v>15655</v>
      </c>
      <c r="O25" s="268" t="s">
        <v>15656</v>
      </c>
      <c r="P25" s="218"/>
      <c r="Q25" s="269" t="s">
        <v>15609</v>
      </c>
      <c r="R25" s="215" t="str">
        <f ca="1">IF(ISERROR($V25),"",OFFSET('Smelter Look-up'!$C$4,$V25-4,0)&amp;"")</f>
        <v>Al Etihad Gold Refinery DMCC</v>
      </c>
      <c r="S25" s="222" t="str">
        <f t="shared" ca="1" si="3"/>
        <v>AE</v>
      </c>
      <c r="T25" s="222" t="str">
        <f ca="1">IF(B25="","",IF(ISERROR(MATCH($J25,SorP!$B$1:$B$6230,0)),"",INDIRECT("'SorP'!$A$"&amp;MATCH($J25,SorP!$B$1:$B$6230,0))))</f>
        <v>AE-DU</v>
      </c>
      <c r="U25" s="238"/>
      <c r="V25" s="270">
        <f>IF(C25="",NA(),MATCH($B25&amp;$C25,'Smelter Look-up'!$J:$J,0))</f>
        <v>14</v>
      </c>
      <c r="W25" s="271"/>
      <c r="X25" s="271">
        <f t="shared" si="4"/>
        <v>0</v>
      </c>
      <c r="Y25" s="271"/>
      <c r="Z25" s="271"/>
      <c r="AB25" s="273" t="str">
        <f t="shared" si="5"/>
        <v>GoldAl Etihad Gold Refinery DMCC</v>
      </c>
    </row>
    <row r="26" spans="1:28" s="272" customFormat="1" ht="178.5">
      <c r="A26" s="215" t="s">
        <v>1394</v>
      </c>
      <c r="B26" s="215" t="s">
        <v>1130</v>
      </c>
      <c r="C26" s="219" t="s">
        <v>1393</v>
      </c>
      <c r="D26" s="278" t="s">
        <v>1393</v>
      </c>
      <c r="E26" s="215" t="s">
        <v>2462</v>
      </c>
      <c r="F26" s="215" t="str">
        <f ca="1">IF(ISERROR($V26),"",OFFSET('Smelter Look-up'!$E$4,$V26-4,0))</f>
        <v>CID002516</v>
      </c>
      <c r="G26" s="215" t="str">
        <f ca="1">IF(C26=$X$4,"Enter smelter details",IF(ISERROR($V26),"",OFFSET('Smelter Look-up'!$F$4,$V26-4,0)))</f>
        <v>RMI</v>
      </c>
      <c r="H26" s="216" t="s">
        <v>15657</v>
      </c>
      <c r="I26" s="217" t="s">
        <v>1710</v>
      </c>
      <c r="J26" s="217" t="s">
        <v>1711</v>
      </c>
      <c r="K26" s="268"/>
      <c r="L26" s="268"/>
      <c r="M26" s="268"/>
      <c r="N26" s="268" t="s">
        <v>15632</v>
      </c>
      <c r="O26" s="268" t="s">
        <v>15658</v>
      </c>
      <c r="P26" s="218"/>
      <c r="Q26" s="269" t="s">
        <v>15609</v>
      </c>
      <c r="R26" s="215" t="str">
        <f ca="1">IF(ISERROR($V26),"",OFFSET('Smelter Look-up'!$C$4,$V26-4,0)&amp;"")</f>
        <v>Singway Technology Co., Ltd.</v>
      </c>
      <c r="S26" s="222" t="str">
        <f t="shared" ca="1" si="3"/>
        <v>TW</v>
      </c>
      <c r="T26" s="222" t="str">
        <f ca="1">IF(B26="","",IF(ISERROR(MATCH($J26,SorP!$B$1:$B$6230,0)),"",INDIRECT("'SorP'!$A$"&amp;MATCH($J26,SorP!$B$1:$B$6230,0))))</f>
        <v>TW-TAO</v>
      </c>
      <c r="U26" s="238"/>
      <c r="V26" s="270">
        <f>IF(C26="",NA(),MATCH($B26&amp;$C26,'Smelter Look-up'!$J:$J,0))</f>
        <v>249</v>
      </c>
      <c r="W26" s="271"/>
      <c r="X26" s="271">
        <f t="shared" si="4"/>
        <v>0</v>
      </c>
      <c r="Y26" s="271"/>
      <c r="Z26" s="271"/>
      <c r="AB26" s="273" t="str">
        <f t="shared" si="5"/>
        <v>GoldSingway Technology Co., Ltd.</v>
      </c>
    </row>
    <row r="27" spans="1:28" s="272" customFormat="1" ht="140.25">
      <c r="A27" s="215" t="s">
        <v>1389</v>
      </c>
      <c r="B27" s="215" t="s">
        <v>1130</v>
      </c>
      <c r="C27" s="219" t="s">
        <v>12918</v>
      </c>
      <c r="D27" s="278" t="s">
        <v>12918</v>
      </c>
      <c r="E27" s="215" t="s">
        <v>882</v>
      </c>
      <c r="F27" s="215" t="str">
        <f ca="1">IF(ISERROR($V27),"",OFFSET('Smelter Look-up'!$E$4,$V27-4,0))</f>
        <v>CID002511</v>
      </c>
      <c r="G27" s="215" t="str">
        <f ca="1">IF(C27=$X$4,"Enter smelter details",IF(ISERROR($V27),"",OFFSET('Smelter Look-up'!$F$4,$V27-4,0)))</f>
        <v>RMI</v>
      </c>
      <c r="H27" s="216" t="s">
        <v>15659</v>
      </c>
      <c r="I27" s="217" t="s">
        <v>1707</v>
      </c>
      <c r="J27" s="217" t="s">
        <v>9704</v>
      </c>
      <c r="K27" s="268"/>
      <c r="L27" s="268"/>
      <c r="M27" s="268"/>
      <c r="N27" s="268" t="s">
        <v>15612</v>
      </c>
      <c r="O27" s="268" t="s">
        <v>15660</v>
      </c>
      <c r="P27" s="218"/>
      <c r="Q27" s="269" t="s">
        <v>15609</v>
      </c>
      <c r="R27" s="215" t="str">
        <f ca="1">IF(ISERROR($V27),"",OFFSET('Smelter Look-up'!$C$4,$V27-4,0)&amp;"")</f>
        <v>KGHM Polska Miedz Spolka Akcyjna</v>
      </c>
      <c r="S27" s="222" t="str">
        <f t="shared" ca="1" si="3"/>
        <v>PL</v>
      </c>
      <c r="T27" s="222" t="str">
        <f ca="1">IF(B27="","",IF(ISERROR(MATCH($J27,SorP!$B$1:$B$6230,0)),"",INDIRECT("'SorP'!$A$"&amp;MATCH($J27,SorP!$B$1:$B$6230,0))))</f>
        <v>PL-02</v>
      </c>
      <c r="U27" s="238"/>
      <c r="V27" s="270">
        <f>IF(C27="",NA(),MATCH($B27&amp;$C27,'Smelter Look-up'!$J:$J,0))</f>
        <v>135</v>
      </c>
      <c r="W27" s="271"/>
      <c r="X27" s="271">
        <f t="shared" si="4"/>
        <v>0</v>
      </c>
      <c r="Y27" s="271"/>
      <c r="Z27" s="271"/>
      <c r="AB27" s="273" t="str">
        <f t="shared" si="5"/>
        <v>GoldKGHM Polska Miedz Spolka Akcyjna</v>
      </c>
    </row>
    <row r="28" spans="1:28" s="272" customFormat="1" ht="102">
      <c r="A28" s="215" t="s">
        <v>1391</v>
      </c>
      <c r="B28" s="215" t="s">
        <v>1130</v>
      </c>
      <c r="C28" s="219" t="s">
        <v>2188</v>
      </c>
      <c r="D28" s="278" t="s">
        <v>2188</v>
      </c>
      <c r="E28" s="215" t="s">
        <v>1106</v>
      </c>
      <c r="F28" s="215" t="str">
        <f ca="1">IF(ISERROR($V28),"",OFFSET('Smelter Look-up'!$E$4,$V28-4,0))</f>
        <v>CID002509</v>
      </c>
      <c r="G28" s="215" t="str">
        <f ca="1">IF(C28=$X$4,"Enter smelter details",IF(ISERROR($V28),"",OFFSET('Smelter Look-up'!$F$4,$V28-4,0)))</f>
        <v>RMI</v>
      </c>
      <c r="H28" s="216" t="s">
        <v>15661</v>
      </c>
      <c r="I28" s="217" t="s">
        <v>1704</v>
      </c>
      <c r="J28" s="217" t="s">
        <v>1705</v>
      </c>
      <c r="K28" s="268"/>
      <c r="L28" s="268"/>
      <c r="M28" s="268"/>
      <c r="N28" s="268" t="s">
        <v>15612</v>
      </c>
      <c r="O28" s="268" t="s">
        <v>15662</v>
      </c>
      <c r="P28" s="218"/>
      <c r="Q28" s="269" t="s">
        <v>15609</v>
      </c>
      <c r="R28" s="215" t="str">
        <f ca="1">IF(ISERROR($V28),"",OFFSET('Smelter Look-up'!$C$4,$V28-4,0)&amp;"")</f>
        <v>MMTC-PAMP India Pvt., Ltd.</v>
      </c>
      <c r="S28" s="222" t="str">
        <f t="shared" ca="1" si="3"/>
        <v>IN</v>
      </c>
      <c r="T28" s="222" t="str">
        <f ca="1">IF(B28="","",IF(ISERROR(MATCH($J28,SorP!$B$1:$B$6230,0)),"",INDIRECT("'SorP'!$A$"&amp;MATCH($J28,SorP!$B$1:$B$6230,0))))</f>
        <v>IN-HR</v>
      </c>
      <c r="U28" s="238"/>
      <c r="V28" s="270">
        <f>IF(C28="",NA(),MATCH($B28&amp;$C28,'Smelter Look-up'!$J:$J,0))</f>
        <v>180</v>
      </c>
      <c r="W28" s="271"/>
      <c r="X28" s="271">
        <f t="shared" si="4"/>
        <v>0</v>
      </c>
      <c r="Y28" s="271"/>
      <c r="Z28" s="271"/>
      <c r="AB28" s="273" t="str">
        <f t="shared" si="5"/>
        <v>GoldMMTC-PAMP India Pvt., Ltd.</v>
      </c>
    </row>
    <row r="29" spans="1:28" s="272" customFormat="1" ht="63.75">
      <c r="A29" s="215" t="s">
        <v>1703</v>
      </c>
      <c r="B29" s="215" t="s">
        <v>1130</v>
      </c>
      <c r="C29" s="219" t="s">
        <v>1702</v>
      </c>
      <c r="D29" s="278" t="s">
        <v>1702</v>
      </c>
      <c r="E29" s="215" t="s">
        <v>2463</v>
      </c>
      <c r="F29" s="215" t="str">
        <f ca="1">IF(ISERROR($V29),"",OFFSET('Smelter Look-up'!$E$4,$V29-4,0))</f>
        <v>CID002459</v>
      </c>
      <c r="G29" s="215" t="str">
        <f ca="1">IF(C29=$X$4,"Enter smelter details",IF(ISERROR($V29),"",OFFSET('Smelter Look-up'!$F$4,$V29-4,0)))</f>
        <v>RMI</v>
      </c>
      <c r="H29" s="216" t="s">
        <v>15663</v>
      </c>
      <c r="I29" s="217" t="s">
        <v>1545</v>
      </c>
      <c r="J29" s="217" t="s">
        <v>1546</v>
      </c>
      <c r="K29" s="268"/>
      <c r="L29" s="268"/>
      <c r="M29" s="268"/>
      <c r="N29" s="268" t="s">
        <v>15607</v>
      </c>
      <c r="O29" s="268" t="s">
        <v>15664</v>
      </c>
      <c r="P29" s="218"/>
      <c r="Q29" s="269" t="s">
        <v>15609</v>
      </c>
      <c r="R29" s="215" t="str">
        <f ca="1">IF(ISERROR($V29),"",OFFSET('Smelter Look-up'!$C$4,$V29-4,0)&amp;"")</f>
        <v>Geib Refining Corporation</v>
      </c>
      <c r="S29" s="222" t="str">
        <f t="shared" ca="1" si="3"/>
        <v>US</v>
      </c>
      <c r="T29" s="222" t="str">
        <f ca="1">IF(B29="","",IF(ISERROR(MATCH($J29,SorP!$B$1:$B$6230,0)),"",INDIRECT("'SorP'!$A$"&amp;MATCH($J29,SorP!$B$1:$B$6230,0))))</f>
        <v>US-RI</v>
      </c>
      <c r="U29" s="238"/>
      <c r="V29" s="270">
        <f>IF(C29="",NA(),MATCH($B29&amp;$C29,'Smelter Look-up'!$J:$J,0))</f>
        <v>85</v>
      </c>
      <c r="W29" s="271"/>
      <c r="X29" s="271">
        <f t="shared" si="4"/>
        <v>0</v>
      </c>
      <c r="Y29" s="271"/>
      <c r="Z29" s="271"/>
      <c r="AB29" s="273" t="str">
        <f t="shared" si="5"/>
        <v>GoldGeib Refining Corporation</v>
      </c>
    </row>
    <row r="30" spans="1:28" s="272" customFormat="1" ht="63.75">
      <c r="A30" s="215" t="s">
        <v>147</v>
      </c>
      <c r="B30" s="215" t="s">
        <v>1130</v>
      </c>
      <c r="C30" s="219" t="s">
        <v>146</v>
      </c>
      <c r="D30" s="278" t="s">
        <v>146</v>
      </c>
      <c r="E30" s="215" t="s">
        <v>888</v>
      </c>
      <c r="F30" s="215" t="str">
        <f ca="1">IF(ISERROR($V30),"",OFFSET('Smelter Look-up'!$E$4,$V30-4,0))</f>
        <v>CID002314</v>
      </c>
      <c r="G30" s="215" t="str">
        <f ca="1">IF(C30=$X$4,"Enter smelter details",IF(ISERROR($V30),"",OFFSET('Smelter Look-up'!$F$4,$V30-4,0)))</f>
        <v>RMI</v>
      </c>
      <c r="H30" s="216" t="s">
        <v>15665</v>
      </c>
      <c r="I30" s="217" t="s">
        <v>12619</v>
      </c>
      <c r="J30" s="217" t="s">
        <v>11265</v>
      </c>
      <c r="K30" s="268"/>
      <c r="L30" s="268"/>
      <c r="M30" s="268"/>
      <c r="N30" s="268" t="s">
        <v>15666</v>
      </c>
      <c r="O30" s="268" t="s">
        <v>15667</v>
      </c>
      <c r="P30" s="218"/>
      <c r="Q30" s="269" t="s">
        <v>15609</v>
      </c>
      <c r="R30" s="215" t="str">
        <f ca="1">IF(ISERROR($V30),"",OFFSET('Smelter Look-up'!$C$4,$V30-4,0)&amp;"")</f>
        <v>Umicore Precious Metals Thailand</v>
      </c>
      <c r="S30" s="222" t="str">
        <f t="shared" ca="1" si="3"/>
        <v>TH</v>
      </c>
      <c r="T30" s="222" t="str">
        <f ca="1">IF(B30="","",IF(ISERROR(MATCH($J30,SorP!$B$1:$B$6230,0)),"",INDIRECT("'SorP'!$A$"&amp;MATCH($J30,SorP!$B$1:$B$6230,0))))</f>
        <v>TH-10</v>
      </c>
      <c r="U30" s="238"/>
      <c r="V30" s="270">
        <f>IF(C30="",NA(),MATCH($B30&amp;$C30,'Smelter Look-up'!$J:$J,0))</f>
        <v>285</v>
      </c>
      <c r="W30" s="271"/>
      <c r="X30" s="271">
        <f t="shared" si="4"/>
        <v>0</v>
      </c>
      <c r="Y30" s="271"/>
      <c r="Z30" s="271"/>
      <c r="AB30" s="273" t="str">
        <f t="shared" si="5"/>
        <v>GoldUmicore Precious Metals Thailand</v>
      </c>
    </row>
    <row r="31" spans="1:28" s="272" customFormat="1" ht="63.75">
      <c r="A31" s="215" t="s">
        <v>2344</v>
      </c>
      <c r="B31" s="215" t="s">
        <v>1130</v>
      </c>
      <c r="C31" s="219" t="s">
        <v>15668</v>
      </c>
      <c r="D31" s="278" t="s">
        <v>15668</v>
      </c>
      <c r="E31" s="215" t="s">
        <v>13718</v>
      </c>
      <c r="F31" s="215" t="str">
        <f ca="1">IF(ISERROR($V31),"",OFFSET('Smelter Look-up'!$E$4,$V31-4,0))</f>
        <v>CID002290</v>
      </c>
      <c r="G31" s="215" t="str">
        <f ca="1">IF(C31=$X$4,"Enter smelter details",IF(ISERROR($V31),"",OFFSET('Smelter Look-up'!$F$4,$V31-4,0)))</f>
        <v>RMI</v>
      </c>
      <c r="H31" s="216" t="s">
        <v>15669</v>
      </c>
      <c r="I31" s="217" t="s">
        <v>2345</v>
      </c>
      <c r="J31" s="217" t="s">
        <v>4189</v>
      </c>
      <c r="K31" s="268"/>
      <c r="L31" s="268"/>
      <c r="M31" s="268"/>
      <c r="N31" s="268" t="s">
        <v>15607</v>
      </c>
      <c r="O31" s="268" t="s">
        <v>15670</v>
      </c>
      <c r="P31" s="218"/>
      <c r="Q31" s="269" t="s">
        <v>15609</v>
      </c>
      <c r="R31" s="215" t="str">
        <f ca="1">IF(ISERROR($V31),"",OFFSET('Smelter Look-up'!$C$4,$V31-4,0)&amp;"")</f>
        <v>SAFINA A.S.</v>
      </c>
      <c r="S31" s="222" t="str">
        <f t="shared" ca="1" si="3"/>
        <v>CZ</v>
      </c>
      <c r="T31" s="222" t="str">
        <f ca="1">IF(B31="","",IF(ISERROR(MATCH($J31,SorP!$B$1:$B$6230,0)),"",INDIRECT("'SorP'!$A$"&amp;MATCH($J31,SorP!$B$1:$B$6230,0))))</f>
        <v>CZ-20A</v>
      </c>
      <c r="U31" s="238"/>
      <c r="V31" s="270">
        <f>IF(C31="",NA(),MATCH($B31&amp;$C31,'Smelter Look-up'!$J:$J,0))</f>
        <v>219</v>
      </c>
      <c r="W31" s="271"/>
      <c r="X31" s="271">
        <f t="shared" si="4"/>
        <v>0</v>
      </c>
      <c r="Y31" s="271"/>
      <c r="Z31" s="271"/>
      <c r="AB31" s="273" t="str">
        <f t="shared" si="5"/>
        <v>GoldSafina a.s.</v>
      </c>
    </row>
    <row r="32" spans="1:28" s="272" customFormat="1" ht="127.5">
      <c r="A32" s="215" t="s">
        <v>746</v>
      </c>
      <c r="B32" s="215" t="s">
        <v>1130</v>
      </c>
      <c r="C32" s="219" t="s">
        <v>2527</v>
      </c>
      <c r="D32" s="278" t="s">
        <v>2527</v>
      </c>
      <c r="E32" s="215" t="s">
        <v>1100</v>
      </c>
      <c r="F32" s="215" t="str">
        <f ca="1">IF(ISERROR($V32),"",OFFSET('Smelter Look-up'!$E$4,$V32-4,0))</f>
        <v>CID002243</v>
      </c>
      <c r="G32" s="215" t="str">
        <f ca="1">IF(C32=$X$4,"Enter smelter details",IF(ISERROR($V32),"",OFFSET('Smelter Look-up'!$F$4,$V32-4,0)))</f>
        <v>RMI</v>
      </c>
      <c r="H32" s="216" t="s">
        <v>15671</v>
      </c>
      <c r="I32" s="217" t="s">
        <v>1698</v>
      </c>
      <c r="J32" s="217" t="s">
        <v>13841</v>
      </c>
      <c r="K32" s="268"/>
      <c r="L32" s="268"/>
      <c r="M32" s="268"/>
      <c r="N32" s="268" t="s">
        <v>15672</v>
      </c>
      <c r="O32" s="268" t="s">
        <v>15673</v>
      </c>
      <c r="P32" s="218"/>
      <c r="Q32" s="269" t="s">
        <v>15609</v>
      </c>
      <c r="R32" s="215" t="str">
        <f ca="1">IF(ISERROR($V32),"",OFFSET('Smelter Look-up'!$C$4,$V32-4,0)&amp;"")</f>
        <v>Gold Refinery of Zijin Mining Group Co., Ltd.</v>
      </c>
      <c r="S32" s="222" t="str">
        <f t="shared" ca="1" si="3"/>
        <v>CN</v>
      </c>
      <c r="T32" s="222" t="str">
        <f ca="1">IF(B32="","",IF(ISERROR(MATCH($J32,SorP!$B$1:$B$6230,0)),"",INDIRECT("'SorP'!$A$"&amp;MATCH($J32,SorP!$B$1:$B$6230,0))))</f>
        <v>CN-FJ</v>
      </c>
      <c r="U32" s="238"/>
      <c r="V32" s="270">
        <f>IF(C32="",NA(),MATCH($B32&amp;$C32,'Smelter Look-up'!$J:$J,0))</f>
        <v>88</v>
      </c>
      <c r="W32" s="271"/>
      <c r="X32" s="271">
        <f t="shared" si="4"/>
        <v>0</v>
      </c>
      <c r="Y32" s="271"/>
      <c r="Z32" s="271"/>
      <c r="AB32" s="273" t="str">
        <f t="shared" si="5"/>
        <v>GoldGold Refinery of Zijin Mining Group Co., Ltd.</v>
      </c>
    </row>
    <row r="33" spans="1:28" s="272" customFormat="1" ht="114.75">
      <c r="A33" s="215" t="s">
        <v>745</v>
      </c>
      <c r="B33" s="215" t="s">
        <v>1130</v>
      </c>
      <c r="C33" s="219" t="s">
        <v>1325</v>
      </c>
      <c r="D33" s="278" t="s">
        <v>1325</v>
      </c>
      <c r="E33" s="215" t="s">
        <v>1100</v>
      </c>
      <c r="F33" s="215" t="str">
        <f ca="1">IF(ISERROR($V33),"",OFFSET('Smelter Look-up'!$E$4,$V33-4,0))</f>
        <v>CID002224</v>
      </c>
      <c r="G33" s="215" t="str">
        <f ca="1">IF(C33=$X$4,"Enter smelter details",IF(ISERROR($V33),"",OFFSET('Smelter Look-up'!$F$4,$V33-4,0)))</f>
        <v>RMI</v>
      </c>
      <c r="H33" s="216" t="s">
        <v>15674</v>
      </c>
      <c r="I33" s="217" t="s">
        <v>1695</v>
      </c>
      <c r="J33" s="217" t="s">
        <v>13844</v>
      </c>
      <c r="K33" s="268"/>
      <c r="L33" s="268"/>
      <c r="M33" s="268"/>
      <c r="N33" s="268" t="s">
        <v>15675</v>
      </c>
      <c r="O33" s="268" t="s">
        <v>15676</v>
      </c>
      <c r="P33" s="218"/>
      <c r="Q33" s="269" t="s">
        <v>15609</v>
      </c>
      <c r="R33" s="215" t="str">
        <f ca="1">IF(ISERROR($V33),"",OFFSET('Smelter Look-up'!$C$4,$V33-4,0)&amp;"")</f>
        <v>Zhongyuan Gold Smelter of Zhongjin Gold Corporation</v>
      </c>
      <c r="S33" s="222" t="str">
        <f t="shared" ca="1" si="3"/>
        <v>CN</v>
      </c>
      <c r="T33" s="222" t="str">
        <f ca="1">IF(B33="","",IF(ISERROR(MATCH($J33,SorP!$B$1:$B$6230,0)),"",INDIRECT("'SorP'!$A$"&amp;MATCH($J33,SorP!$B$1:$B$6230,0))))</f>
        <v>CN-HA</v>
      </c>
      <c r="U33" s="238"/>
      <c r="V33" s="270">
        <f>IF(C33="",NA(),MATCH($B33&amp;$C33,'Smelter Look-up'!$J:$J,0))</f>
        <v>310</v>
      </c>
      <c r="W33" s="271"/>
      <c r="X33" s="271">
        <f t="shared" si="4"/>
        <v>0</v>
      </c>
      <c r="Y33" s="271"/>
      <c r="Z33" s="271"/>
      <c r="AB33" s="273" t="str">
        <f t="shared" si="5"/>
        <v>GoldZhongyuan Gold Smelter of Zhongjin Gold Corporation</v>
      </c>
    </row>
    <row r="34" spans="1:28" s="272" customFormat="1" ht="63.75">
      <c r="A34" s="215" t="s">
        <v>743</v>
      </c>
      <c r="B34" s="215" t="s">
        <v>1130</v>
      </c>
      <c r="C34" s="219" t="s">
        <v>2182</v>
      </c>
      <c r="D34" s="278" t="s">
        <v>2182</v>
      </c>
      <c r="E34" s="215" t="s">
        <v>1108</v>
      </c>
      <c r="F34" s="215" t="str">
        <f ca="1">IF(ISERROR($V34),"",OFFSET('Smelter Look-up'!$E$4,$V34-4,0))</f>
        <v>CID002129</v>
      </c>
      <c r="G34" s="215" t="str">
        <f ca="1">IF(C34=$X$4,"Enter smelter details",IF(ISERROR($V34),"",OFFSET('Smelter Look-up'!$F$4,$V34-4,0)))</f>
        <v>RMI</v>
      </c>
      <c r="H34" s="216" t="s">
        <v>15677</v>
      </c>
      <c r="I34" s="217" t="s">
        <v>1694</v>
      </c>
      <c r="J34" s="217" t="s">
        <v>1673</v>
      </c>
      <c r="K34" s="268"/>
      <c r="L34" s="268"/>
      <c r="M34" s="268"/>
      <c r="N34" s="268" t="s">
        <v>15678</v>
      </c>
      <c r="O34" s="268" t="s">
        <v>15679</v>
      </c>
      <c r="P34" s="218"/>
      <c r="Q34" s="269" t="s">
        <v>15609</v>
      </c>
      <c r="R34" s="215" t="str">
        <f ca="1">IF(ISERROR($V34),"",OFFSET('Smelter Look-up'!$C$4,$V34-4,0)&amp;"")</f>
        <v>Yokohama Metal Co., Ltd.</v>
      </c>
      <c r="S34" s="222" t="str">
        <f t="shared" ca="1" si="3"/>
        <v>JP</v>
      </c>
      <c r="T34" s="222" t="str">
        <f ca="1">IF(B34="","",IF(ISERROR(MATCH($J34,SorP!$B$1:$B$6230,0)),"",INDIRECT("'SorP'!$A$"&amp;MATCH($J34,SorP!$B$1:$B$6230,0))))</f>
        <v>JP-14</v>
      </c>
      <c r="U34" s="238"/>
      <c r="V34" s="270">
        <f>IF(C34="",NA(),MATCH($B34&amp;$C34,'Smelter Look-up'!$J:$J,0))</f>
        <v>300</v>
      </c>
      <c r="W34" s="271"/>
      <c r="X34" s="271">
        <f t="shared" si="4"/>
        <v>0</v>
      </c>
      <c r="Y34" s="271"/>
      <c r="Z34" s="271"/>
      <c r="AB34" s="273" t="str">
        <f t="shared" si="5"/>
        <v>GoldYokohama Metal Co., Ltd.</v>
      </c>
    </row>
    <row r="35" spans="1:28" s="272" customFormat="1" ht="153">
      <c r="A35" s="215" t="s">
        <v>742</v>
      </c>
      <c r="B35" s="215" t="s">
        <v>1130</v>
      </c>
      <c r="C35" s="219" t="s">
        <v>13143</v>
      </c>
      <c r="D35" s="278" t="s">
        <v>13143</v>
      </c>
      <c r="E35" s="215" t="s">
        <v>1108</v>
      </c>
      <c r="F35" s="215" t="str">
        <f ca="1">IF(ISERROR($V35),"",OFFSET('Smelter Look-up'!$E$4,$V35-4,0))</f>
        <v>CID002100</v>
      </c>
      <c r="G35" s="215" t="str">
        <f ca="1">IF(C35=$X$4,"Enter smelter details",IF(ISERROR($V35),"",OFFSET('Smelter Look-up'!$F$4,$V35-4,0)))</f>
        <v>RMI</v>
      </c>
      <c r="H35" s="216" t="s">
        <v>15680</v>
      </c>
      <c r="I35" s="217" t="s">
        <v>13159</v>
      </c>
      <c r="J35" s="217" t="s">
        <v>6733</v>
      </c>
      <c r="K35" s="268"/>
      <c r="L35" s="268"/>
      <c r="M35" s="268"/>
      <c r="N35" s="268" t="s">
        <v>15681</v>
      </c>
      <c r="O35" s="268" t="s">
        <v>15682</v>
      </c>
      <c r="P35" s="218"/>
      <c r="Q35" s="269" t="s">
        <v>15609</v>
      </c>
      <c r="R35" s="215" t="str">
        <f ca="1">IF(ISERROR($V35),"",OFFSET('Smelter Look-up'!$C$4,$V35-4,0)&amp;"")</f>
        <v>Yamakin Co., Ltd.</v>
      </c>
      <c r="S35" s="222" t="str">
        <f t="shared" ca="1" si="3"/>
        <v>JP</v>
      </c>
      <c r="T35" s="222" t="str">
        <f ca="1">IF(B35="","",IF(ISERROR(MATCH($J35,SorP!$B$1:$B$6230,0)),"",INDIRECT("'SorP'!$A$"&amp;MATCH($J35,SorP!$B$1:$B$6230,0))))</f>
        <v>JP-39</v>
      </c>
      <c r="U35" s="238"/>
      <c r="V35" s="270">
        <f>IF(C35="",NA(),MATCH($B35&amp;$C35,'Smelter Look-up'!$J:$J,0))</f>
        <v>295</v>
      </c>
      <c r="W35" s="271"/>
      <c r="X35" s="271">
        <f t="shared" si="4"/>
        <v>0</v>
      </c>
      <c r="Y35" s="271"/>
      <c r="Z35" s="271"/>
      <c r="AB35" s="273" t="str">
        <f t="shared" si="5"/>
        <v>GoldYamakin Co., Ltd.</v>
      </c>
    </row>
    <row r="36" spans="1:28" s="272" customFormat="1" ht="127.5">
      <c r="A36" s="215" t="s">
        <v>741</v>
      </c>
      <c r="B36" s="215" t="s">
        <v>1130</v>
      </c>
      <c r="C36" s="219" t="s">
        <v>2519</v>
      </c>
      <c r="D36" s="278" t="s">
        <v>2519</v>
      </c>
      <c r="E36" s="215" t="s">
        <v>1093</v>
      </c>
      <c r="F36" s="215" t="str">
        <f ca="1">IF(ISERROR($V36),"",OFFSET('Smelter Look-up'!$E$4,$V36-4,0))</f>
        <v>CID002030</v>
      </c>
      <c r="G36" s="215" t="str">
        <f ca="1">IF(C36=$X$4,"Enter smelter details",IF(ISERROR($V36),"",OFFSET('Smelter Look-up'!$F$4,$V36-4,0)))</f>
        <v>RMI</v>
      </c>
      <c r="H36" s="216" t="s">
        <v>15683</v>
      </c>
      <c r="I36" s="217" t="s">
        <v>1688</v>
      </c>
      <c r="J36" s="217" t="s">
        <v>1689</v>
      </c>
      <c r="K36" s="268"/>
      <c r="L36" s="268"/>
      <c r="M36" s="268"/>
      <c r="N36" s="268" t="s">
        <v>15684</v>
      </c>
      <c r="O36" s="268" t="s">
        <v>15685</v>
      </c>
      <c r="P36" s="218"/>
      <c r="Q36" s="269" t="s">
        <v>15609</v>
      </c>
      <c r="R36" s="215" t="str">
        <f ca="1">IF(ISERROR($V36),"",OFFSET('Smelter Look-up'!$C$4,$V36-4,0)&amp;"")</f>
        <v>Western Australian Mint (T/a The Perth Mint)</v>
      </c>
      <c r="S36" s="222" t="str">
        <f t="shared" ca="1" si="3"/>
        <v>AU</v>
      </c>
      <c r="T36" s="222" t="str">
        <f ca="1">IF(B36="","",IF(ISERROR(MATCH($J36,SorP!$B$1:$B$6230,0)),"",INDIRECT("'SorP'!$A$"&amp;MATCH($J36,SorP!$B$1:$B$6230,0))))</f>
        <v>AU-WA</v>
      </c>
      <c r="U36" s="238"/>
      <c r="V36" s="270">
        <f>IF(C36="",NA(),MATCH($B36&amp;$C36,'Smelter Look-up'!$J:$J,0))</f>
        <v>291</v>
      </c>
      <c r="W36" s="271"/>
      <c r="X36" s="271">
        <f t="shared" si="4"/>
        <v>0</v>
      </c>
      <c r="Y36" s="271"/>
      <c r="Z36" s="271"/>
      <c r="AB36" s="273" t="str">
        <f t="shared" si="5"/>
        <v>GoldWestern Australian Mint (T/a The Perth Mint)</v>
      </c>
    </row>
    <row r="37" spans="1:28" s="272" customFormat="1" ht="140.25">
      <c r="A37" s="215" t="s">
        <v>740</v>
      </c>
      <c r="B37" s="215" t="s">
        <v>1130</v>
      </c>
      <c r="C37" s="219" t="s">
        <v>2360</v>
      </c>
      <c r="D37" s="278" t="s">
        <v>2360</v>
      </c>
      <c r="E37" s="215" t="s">
        <v>1098</v>
      </c>
      <c r="F37" s="215" t="str">
        <f ca="1">IF(ISERROR($V37),"",OFFSET('Smelter Look-up'!$E$4,$V37-4,0))</f>
        <v>CID002003</v>
      </c>
      <c r="G37" s="215" t="str">
        <f ca="1">IF(C37=$X$4,"Enter smelter details",IF(ISERROR($V37),"",OFFSET('Smelter Look-up'!$F$4,$V37-4,0)))</f>
        <v>RMI</v>
      </c>
      <c r="H37" s="216" t="s">
        <v>15686</v>
      </c>
      <c r="I37" s="217" t="s">
        <v>1687</v>
      </c>
      <c r="J37" s="217" t="s">
        <v>1556</v>
      </c>
      <c r="K37" s="268"/>
      <c r="L37" s="268"/>
      <c r="M37" s="268"/>
      <c r="N37" s="268" t="s">
        <v>15687</v>
      </c>
      <c r="O37" s="268" t="s">
        <v>15688</v>
      </c>
      <c r="P37" s="218"/>
      <c r="Q37" s="269" t="s">
        <v>15609</v>
      </c>
      <c r="R37" s="215" t="str">
        <f ca="1">IF(ISERROR($V37),"",OFFSET('Smelter Look-up'!$C$4,$V37-4,0)&amp;"")</f>
        <v>Valcambi S.A.</v>
      </c>
      <c r="S37" s="222" t="str">
        <f t="shared" ca="1" si="3"/>
        <v>CH</v>
      </c>
      <c r="T37" s="222" t="str">
        <f ca="1">IF(B37="","",IF(ISERROR(MATCH($J37,SorP!$B$1:$B$6230,0)),"",INDIRECT("'SorP'!$A$"&amp;MATCH($J37,SorP!$B$1:$B$6230,0))))</f>
        <v>CH-TI</v>
      </c>
      <c r="U37" s="238"/>
      <c r="V37" s="270">
        <f>IF(C37="",NA(),MATCH($B37&amp;$C37,'Smelter Look-up'!$J:$J,0))</f>
        <v>288</v>
      </c>
      <c r="W37" s="271"/>
      <c r="X37" s="271">
        <f t="shared" si="4"/>
        <v>0</v>
      </c>
      <c r="Y37" s="271"/>
      <c r="Z37" s="271"/>
      <c r="AB37" s="273" t="str">
        <f t="shared" si="5"/>
        <v>GoldValcambi S.A.</v>
      </c>
    </row>
    <row r="38" spans="1:28" s="272" customFormat="1" ht="165.75">
      <c r="A38" s="215" t="s">
        <v>739</v>
      </c>
      <c r="B38" s="215" t="s">
        <v>1130</v>
      </c>
      <c r="C38" s="219" t="s">
        <v>820</v>
      </c>
      <c r="D38" s="278" t="s">
        <v>820</v>
      </c>
      <c r="E38" s="215" t="s">
        <v>2463</v>
      </c>
      <c r="F38" s="215" t="str">
        <f ca="1">IF(ISERROR($V38),"",OFFSET('Smelter Look-up'!$E$4,$V38-4,0))</f>
        <v>CID001993</v>
      </c>
      <c r="G38" s="215" t="str">
        <f ca="1">IF(C38=$X$4,"Enter smelter details",IF(ISERROR($V38),"",OFFSET('Smelter Look-up'!$F$4,$V38-4,0)))</f>
        <v>RMI</v>
      </c>
      <c r="H38" s="216" t="s">
        <v>15689</v>
      </c>
      <c r="I38" s="217" t="s">
        <v>1686</v>
      </c>
      <c r="J38" s="217" t="s">
        <v>1624</v>
      </c>
      <c r="K38" s="268"/>
      <c r="L38" s="268"/>
      <c r="M38" s="268"/>
      <c r="N38" s="268" t="s">
        <v>15690</v>
      </c>
      <c r="O38" s="268" t="s">
        <v>15691</v>
      </c>
      <c r="P38" s="218"/>
      <c r="Q38" s="269" t="s">
        <v>15609</v>
      </c>
      <c r="R38" s="215" t="str">
        <f ca="1">IF(ISERROR($V38),"",OFFSET('Smelter Look-up'!$C$4,$V38-4,0)&amp;"")</f>
        <v>United Precious Metal Refining, Inc.</v>
      </c>
      <c r="S38" s="222" t="str">
        <f t="shared" ref="S38:S68" ca="1" si="6">IF(B38="","",IF(ISERROR(MATCH($E38,CL,0)),"Unknown",INDIRECT("'C'!$A$"&amp;MATCH($E38,CL,0)+1)))</f>
        <v>US</v>
      </c>
      <c r="T38" s="222" t="str">
        <f ca="1">IF(B38="","",IF(ISERROR(MATCH($J38,SorP!$B$1:$B$6230,0)),"",INDIRECT("'SorP'!$A$"&amp;MATCH($J38,SorP!$B$1:$B$6230,0))))</f>
        <v>US-NY</v>
      </c>
      <c r="U38" s="238"/>
      <c r="V38" s="270">
        <f>IF(C38="",NA(),MATCH($B38&amp;$C38,'Smelter Look-up'!$J:$J,0))</f>
        <v>287</v>
      </c>
      <c r="W38" s="271"/>
      <c r="X38" s="271">
        <f t="shared" ref="X38:X68" si="7">IF(AND(C38="Smelter not listed",OR(LEN(D38)=0,LEN(E38)=0)),1,0)</f>
        <v>0</v>
      </c>
      <c r="Y38" s="271"/>
      <c r="Z38" s="271"/>
      <c r="AB38" s="273" t="str">
        <f t="shared" ref="AB38:AB68" si="8">B38&amp;C38</f>
        <v>GoldUnited Precious Metal Refining, Inc.</v>
      </c>
    </row>
    <row r="39" spans="1:28" s="272" customFormat="1" ht="127.5">
      <c r="A39" s="215" t="s">
        <v>738</v>
      </c>
      <c r="B39" s="215" t="s">
        <v>1130</v>
      </c>
      <c r="C39" s="219" t="s">
        <v>2358</v>
      </c>
      <c r="D39" s="278" t="s">
        <v>2358</v>
      </c>
      <c r="E39" s="215" t="s">
        <v>1095</v>
      </c>
      <c r="F39" s="215" t="str">
        <f ca="1">IF(ISERROR($V39),"",OFFSET('Smelter Look-up'!$E$4,$V39-4,0))</f>
        <v>CID001980</v>
      </c>
      <c r="G39" s="215" t="str">
        <f ca="1">IF(C39=$X$4,"Enter smelter details",IF(ISERROR($V39),"",OFFSET('Smelter Look-up'!$F$4,$V39-4,0)))</f>
        <v>RMI</v>
      </c>
      <c r="H39" s="216" t="s">
        <v>15692</v>
      </c>
      <c r="I39" s="217" t="s">
        <v>1684</v>
      </c>
      <c r="J39" s="217" t="s">
        <v>3190</v>
      </c>
      <c r="K39" s="268"/>
      <c r="L39" s="268"/>
      <c r="M39" s="268"/>
      <c r="N39" s="268" t="s">
        <v>15693</v>
      </c>
      <c r="O39" s="268" t="s">
        <v>15694</v>
      </c>
      <c r="P39" s="218"/>
      <c r="Q39" s="269" t="s">
        <v>15609</v>
      </c>
      <c r="R39" s="215" t="str">
        <f ca="1">IF(ISERROR($V39),"",OFFSET('Smelter Look-up'!$C$4,$V39-4,0)&amp;"")</f>
        <v>Umicore S.A. Business Unit Precious Metals Refining</v>
      </c>
      <c r="S39" s="222" t="str">
        <f t="shared" ca="1" si="6"/>
        <v>BE</v>
      </c>
      <c r="T39" s="222" t="str">
        <f ca="1">IF(B39="","",IF(ISERROR(MATCH($J39,SorP!$B$1:$B$6230,0)),"",INDIRECT("'SorP'!$A$"&amp;MATCH($J39,SorP!$B$1:$B$6230,0))))</f>
        <v>BE-VAN</v>
      </c>
      <c r="U39" s="238"/>
      <c r="V39" s="270">
        <f>IF(C39="",NA(),MATCH($B39&amp;$C39,'Smelter Look-up'!$J:$J,0))</f>
        <v>286</v>
      </c>
      <c r="W39" s="271"/>
      <c r="X39" s="271">
        <f t="shared" si="7"/>
        <v>0</v>
      </c>
      <c r="Y39" s="271"/>
      <c r="Z39" s="271"/>
      <c r="AB39" s="273" t="str">
        <f t="shared" si="8"/>
        <v>GoldUmicore S.A. Business Unit Precious Metals Refining</v>
      </c>
    </row>
    <row r="40" spans="1:28" s="272" customFormat="1" ht="114.75">
      <c r="A40" s="215" t="s">
        <v>737</v>
      </c>
      <c r="B40" s="215" t="s">
        <v>1130</v>
      </c>
      <c r="C40" s="219" t="s">
        <v>610</v>
      </c>
      <c r="D40" s="278" t="s">
        <v>610</v>
      </c>
      <c r="E40" s="215" t="s">
        <v>1111</v>
      </c>
      <c r="F40" s="215" t="str">
        <f ca="1">IF(ISERROR($V40),"",OFFSET('Smelter Look-up'!$E$4,$V40-4,0))</f>
        <v>CID001955</v>
      </c>
      <c r="G40" s="215" t="str">
        <f ca="1">IF(C40=$X$4,"Enter smelter details",IF(ISERROR($V40),"",OFFSET('Smelter Look-up'!$F$4,$V40-4,0)))</f>
        <v>RMI</v>
      </c>
      <c r="H40" s="216" t="s">
        <v>15695</v>
      </c>
      <c r="I40" s="217" t="s">
        <v>1682</v>
      </c>
      <c r="J40" s="217" t="s">
        <v>13083</v>
      </c>
      <c r="K40" s="268"/>
      <c r="L40" s="268"/>
      <c r="M40" s="268"/>
      <c r="N40" s="268" t="s">
        <v>15696</v>
      </c>
      <c r="O40" s="268" t="s">
        <v>15697</v>
      </c>
      <c r="P40" s="218"/>
      <c r="Q40" s="269" t="s">
        <v>15609</v>
      </c>
      <c r="R40" s="215" t="str">
        <f ca="1">IF(ISERROR($V40),"",OFFSET('Smelter Look-up'!$C$4,$V40-4,0)&amp;"")</f>
        <v>Torecom</v>
      </c>
      <c r="S40" s="222" t="str">
        <f t="shared" ca="1" si="6"/>
        <v>KR</v>
      </c>
      <c r="T40" s="222" t="str">
        <f ca="1">IF(B40="","",IF(ISERROR(MATCH($J40,SorP!$B$1:$B$6230,0)),"",INDIRECT("'SorP'!$A$"&amp;MATCH($J40,SorP!$B$1:$B$6230,0))))</f>
        <v>KR-44</v>
      </c>
      <c r="U40" s="238"/>
      <c r="V40" s="270">
        <f>IF(C40="",NA(),MATCH($B40&amp;$C40,'Smelter Look-up'!$J:$J,0))</f>
        <v>281</v>
      </c>
      <c r="W40" s="271"/>
      <c r="X40" s="271">
        <f t="shared" si="7"/>
        <v>0</v>
      </c>
      <c r="Y40" s="271"/>
      <c r="Z40" s="271"/>
      <c r="AB40" s="273" t="str">
        <f t="shared" si="8"/>
        <v>GoldTorecom</v>
      </c>
    </row>
    <row r="41" spans="1:28" s="272" customFormat="1" ht="140.25">
      <c r="A41" s="215" t="s">
        <v>735</v>
      </c>
      <c r="B41" s="215" t="s">
        <v>1130</v>
      </c>
      <c r="C41" s="219" t="s">
        <v>2180</v>
      </c>
      <c r="D41" s="278" t="s">
        <v>2180</v>
      </c>
      <c r="E41" s="215" t="s">
        <v>1108</v>
      </c>
      <c r="F41" s="215" t="str">
        <f ca="1">IF(ISERROR($V41),"",OFFSET('Smelter Look-up'!$E$4,$V41-4,0))</f>
        <v>CID001938</v>
      </c>
      <c r="G41" s="215" t="str">
        <f ca="1">IF(C41=$X$4,"Enter smelter details",IF(ISERROR($V41),"",OFFSET('Smelter Look-up'!$F$4,$V41-4,0)))</f>
        <v>RMI</v>
      </c>
      <c r="H41" s="216" t="s">
        <v>15698</v>
      </c>
      <c r="I41" s="217" t="s">
        <v>1678</v>
      </c>
      <c r="J41" s="217" t="s">
        <v>1587</v>
      </c>
      <c r="K41" s="268"/>
      <c r="L41" s="268"/>
      <c r="M41" s="268"/>
      <c r="N41" s="268" t="s">
        <v>15699</v>
      </c>
      <c r="O41" s="268" t="s">
        <v>15700</v>
      </c>
      <c r="P41" s="218"/>
      <c r="Q41" s="269" t="s">
        <v>15609</v>
      </c>
      <c r="R41" s="215" t="str">
        <f ca="1">IF(ISERROR($V41),"",OFFSET('Smelter Look-up'!$C$4,$V41-4,0)&amp;"")</f>
        <v>Tokuriki Honten Co., Ltd.</v>
      </c>
      <c r="S41" s="222" t="str">
        <f t="shared" ca="1" si="6"/>
        <v>JP</v>
      </c>
      <c r="T41" s="222" t="str">
        <f ca="1">IF(B41="","",IF(ISERROR(MATCH($J41,SorP!$B$1:$B$6230,0)),"",INDIRECT("'SorP'!$A$"&amp;MATCH($J41,SorP!$B$1:$B$6230,0))))</f>
        <v>JP-11</v>
      </c>
      <c r="U41" s="238"/>
      <c r="V41" s="270">
        <f>IF(C41="",NA(),MATCH($B41&amp;$C41,'Smelter Look-up'!$J:$J,0))</f>
        <v>276</v>
      </c>
      <c r="W41" s="271"/>
      <c r="X41" s="271">
        <f t="shared" si="7"/>
        <v>0</v>
      </c>
      <c r="Y41" s="271"/>
      <c r="Z41" s="271"/>
      <c r="AB41" s="273" t="str">
        <f t="shared" si="8"/>
        <v>GoldTokuriki Honten Co., Ltd.</v>
      </c>
    </row>
    <row r="42" spans="1:28" s="272" customFormat="1" ht="140.25">
      <c r="A42" s="215" t="s">
        <v>734</v>
      </c>
      <c r="B42" s="215" t="s">
        <v>1130</v>
      </c>
      <c r="C42" s="219" t="s">
        <v>15701</v>
      </c>
      <c r="D42" s="278" t="s">
        <v>15701</v>
      </c>
      <c r="E42" s="215" t="s">
        <v>1100</v>
      </c>
      <c r="F42" s="215" t="str">
        <f ca="1">IF(ISERROR($V42),"",OFFSET('Smelter Look-up'!$E$4,$V42-4,0))</f>
        <v>CID001916</v>
      </c>
      <c r="G42" s="215" t="str">
        <f ca="1">IF(C42=$X$4,"Enter smelter details",IF(ISERROR($V42),"",OFFSET('Smelter Look-up'!$F$4,$V42-4,0)))</f>
        <v>RMI</v>
      </c>
      <c r="H42" s="216" t="s">
        <v>15702</v>
      </c>
      <c r="I42" s="217" t="s">
        <v>1663</v>
      </c>
      <c r="J42" s="217" t="s">
        <v>13843</v>
      </c>
      <c r="K42" s="268"/>
      <c r="L42" s="268"/>
      <c r="M42" s="268"/>
      <c r="N42" s="268" t="s">
        <v>15703</v>
      </c>
      <c r="O42" s="268" t="s">
        <v>15704</v>
      </c>
      <c r="P42" s="218"/>
      <c r="Q42" s="269" t="s">
        <v>15609</v>
      </c>
      <c r="R42" s="215" t="str">
        <f ca="1">IF(ISERROR($V42),"",OFFSET('Smelter Look-up'!$C$4,$V42-4,0)&amp;"")</f>
        <v>Shandong Gold Smelting Co., Ltd.</v>
      </c>
      <c r="S42" s="222" t="str">
        <f t="shared" ca="1" si="6"/>
        <v>CN</v>
      </c>
      <c r="T42" s="222" t="str">
        <f ca="1">IF(B42="","",IF(ISERROR(MATCH($J42,SorP!$B$1:$B$6230,0)),"",INDIRECT("'SorP'!$A$"&amp;MATCH($J42,SorP!$B$1:$B$6230,0))))</f>
        <v>CN-SD</v>
      </c>
      <c r="U42" s="238"/>
      <c r="V42" s="270">
        <f>IF(C42="",NA(),MATCH($B42&amp;$C42,'Smelter Look-up'!$J:$J,0))</f>
        <v>234</v>
      </c>
      <c r="W42" s="271"/>
      <c r="X42" s="271">
        <f t="shared" si="7"/>
        <v>0</v>
      </c>
      <c r="Y42" s="271"/>
      <c r="Z42" s="271"/>
      <c r="AB42" s="273" t="str">
        <f t="shared" si="8"/>
        <v>GoldShandong gold smelting Co., Ltd.</v>
      </c>
    </row>
    <row r="43" spans="1:28" s="272" customFormat="1" ht="89.25">
      <c r="A43" s="215" t="s">
        <v>733</v>
      </c>
      <c r="B43" s="215" t="s">
        <v>1130</v>
      </c>
      <c r="C43" s="219" t="s">
        <v>2235</v>
      </c>
      <c r="D43" s="278" t="s">
        <v>2235</v>
      </c>
      <c r="E43" s="215" t="s">
        <v>1100</v>
      </c>
      <c r="F43" s="215" t="str">
        <f ca="1">IF(ISERROR($V43),"",OFFSET('Smelter Look-up'!$E$4,$V43-4,0))</f>
        <v>CID001909</v>
      </c>
      <c r="G43" s="215" t="str">
        <f ca="1">IF(C43=$X$4,"Enter smelter details",IF(ISERROR($V43),"",OFFSET('Smelter Look-up'!$F$4,$V43-4,0)))</f>
        <v>RMI</v>
      </c>
      <c r="H43" s="216" t="s">
        <v>15705</v>
      </c>
      <c r="I43" s="217" t="s">
        <v>1667</v>
      </c>
      <c r="J43" s="217" t="s">
        <v>13849</v>
      </c>
      <c r="K43" s="268"/>
      <c r="L43" s="268"/>
      <c r="M43" s="268"/>
      <c r="N43" s="268"/>
      <c r="O43" s="268"/>
      <c r="P43" s="218"/>
      <c r="Q43" s="269" t="s">
        <v>15609</v>
      </c>
      <c r="R43" s="215" t="str">
        <f ca="1">IF(ISERROR($V43),"",OFFSET('Smelter Look-up'!$C$4,$V43-4,0)&amp;"")</f>
        <v>Great Wall Precious Metals Co., Ltd. of CBPM</v>
      </c>
      <c r="S43" s="222" t="str">
        <f t="shared" ca="1" si="6"/>
        <v>CN</v>
      </c>
      <c r="T43" s="222" t="str">
        <f ca="1">IF(B43="","",IF(ISERROR(MATCH($J43,SorP!$B$1:$B$6230,0)),"",INDIRECT("'SorP'!$A$"&amp;MATCH($J43,SorP!$B$1:$B$6230,0))))</f>
        <v>CN-SC</v>
      </c>
      <c r="U43" s="238"/>
      <c r="V43" s="270">
        <f>IF(C43="",NA(),MATCH($B43&amp;$C43,'Smelter Look-up'!$J:$J,0))</f>
        <v>90</v>
      </c>
      <c r="W43" s="271"/>
      <c r="X43" s="271">
        <f t="shared" si="7"/>
        <v>0</v>
      </c>
      <c r="Y43" s="271"/>
      <c r="Z43" s="271"/>
      <c r="AB43" s="273" t="str">
        <f t="shared" si="8"/>
        <v>GoldGreat Wall Precious Metals Co., Ltd. of CBPM</v>
      </c>
    </row>
    <row r="44" spans="1:28" s="272" customFormat="1" ht="293.25">
      <c r="A44" s="215" t="s">
        <v>732</v>
      </c>
      <c r="B44" s="215" t="s">
        <v>1130</v>
      </c>
      <c r="C44" s="219" t="s">
        <v>1233</v>
      </c>
      <c r="D44" s="278" t="s">
        <v>1233</v>
      </c>
      <c r="E44" s="215" t="s">
        <v>1108</v>
      </c>
      <c r="F44" s="215" t="str">
        <f ca="1">IF(ISERROR($V44),"",OFFSET('Smelter Look-up'!$E$4,$V44-4,0))</f>
        <v>CID001875</v>
      </c>
      <c r="G44" s="215" t="str">
        <f ca="1">IF(C44=$X$4,"Enter smelter details",IF(ISERROR($V44),"",OFFSET('Smelter Look-up'!$F$4,$V44-4,0)))</f>
        <v>RMI</v>
      </c>
      <c r="H44" s="216" t="s">
        <v>15706</v>
      </c>
      <c r="I44" s="217" t="s">
        <v>1672</v>
      </c>
      <c r="J44" s="217" t="s">
        <v>1673</v>
      </c>
      <c r="K44" s="268"/>
      <c r="L44" s="268"/>
      <c r="M44" s="268"/>
      <c r="N44" s="268" t="s">
        <v>15707</v>
      </c>
      <c r="O44" s="268" t="s">
        <v>15708</v>
      </c>
      <c r="P44" s="218"/>
      <c r="Q44" s="269" t="s">
        <v>15609</v>
      </c>
      <c r="R44" s="215" t="str">
        <f ca="1">IF(ISERROR($V44),"",OFFSET('Smelter Look-up'!$C$4,$V44-4,0)&amp;"")</f>
        <v>Tanaka Kikinzoku Kogyo K.K.</v>
      </c>
      <c r="S44" s="222" t="str">
        <f t="shared" ca="1" si="6"/>
        <v>JP</v>
      </c>
      <c r="T44" s="222" t="str">
        <f ca="1">IF(B44="","",IF(ISERROR(MATCH($J44,SorP!$B$1:$B$6230,0)),"",INDIRECT("'SorP'!$A$"&amp;MATCH($J44,SorP!$B$1:$B$6230,0))))</f>
        <v>JP-14</v>
      </c>
      <c r="U44" s="238"/>
      <c r="V44" s="270">
        <f>IF(C44="",NA(),MATCH($B44&amp;$C44,'Smelter Look-up'!$J:$J,0))</f>
        <v>271</v>
      </c>
      <c r="W44" s="271"/>
      <c r="X44" s="271">
        <f t="shared" si="7"/>
        <v>0</v>
      </c>
      <c r="Y44" s="271"/>
      <c r="Z44" s="271"/>
      <c r="AB44" s="273" t="str">
        <f t="shared" si="8"/>
        <v>GoldTanaka Kikinzoku Kogyo K.K.</v>
      </c>
    </row>
    <row r="45" spans="1:28" s="272" customFormat="1" ht="318.75">
      <c r="A45" s="215" t="s">
        <v>731</v>
      </c>
      <c r="B45" s="215" t="s">
        <v>1130</v>
      </c>
      <c r="C45" s="219" t="s">
        <v>58</v>
      </c>
      <c r="D45" s="278" t="s">
        <v>58</v>
      </c>
      <c r="E45" s="215" t="s">
        <v>1108</v>
      </c>
      <c r="F45" s="215" t="str">
        <f ca="1">IF(ISERROR($V45),"",OFFSET('Smelter Look-up'!$E$4,$V45-4,0))</f>
        <v>CID001798</v>
      </c>
      <c r="G45" s="215" t="str">
        <f ca="1">IF(C45=$X$4,"Enter smelter details",IF(ISERROR($V45),"",OFFSET('Smelter Look-up'!$F$4,$V45-4,0)))</f>
        <v>RMI</v>
      </c>
      <c r="H45" s="216" t="s">
        <v>15709</v>
      </c>
      <c r="I45" s="217" t="s">
        <v>1670</v>
      </c>
      <c r="J45" s="217" t="s">
        <v>2231</v>
      </c>
      <c r="K45" s="268"/>
      <c r="L45" s="268"/>
      <c r="M45" s="268"/>
      <c r="N45" s="268" t="s">
        <v>15710</v>
      </c>
      <c r="O45" s="268" t="s">
        <v>15711</v>
      </c>
      <c r="P45" s="218"/>
      <c r="Q45" s="269" t="s">
        <v>15609</v>
      </c>
      <c r="R45" s="215" t="str">
        <f ca="1">IF(ISERROR($V45),"",OFFSET('Smelter Look-up'!$C$4,$V45-4,0)&amp;"")</f>
        <v>Sumitomo Metal Mining Co., Ltd.</v>
      </c>
      <c r="S45" s="222" t="str">
        <f t="shared" ca="1" si="6"/>
        <v>JP</v>
      </c>
      <c r="T45" s="222" t="str">
        <f ca="1">IF(B45="","",IF(ISERROR(MATCH($J45,SorP!$B$1:$B$6230,0)),"",INDIRECT("'SorP'!$A$"&amp;MATCH($J45,SorP!$B$1:$B$6230,0))))</f>
        <v>JP-38</v>
      </c>
      <c r="U45" s="238"/>
      <c r="V45" s="270">
        <f>IF(C45="",NA(),MATCH($B45&amp;$C45,'Smelter Look-up'!$J:$J,0))</f>
        <v>259</v>
      </c>
      <c r="W45" s="271"/>
      <c r="X45" s="271">
        <f t="shared" si="7"/>
        <v>0</v>
      </c>
      <c r="Y45" s="271"/>
      <c r="Z45" s="271"/>
      <c r="AB45" s="273" t="str">
        <f t="shared" si="8"/>
        <v>GoldSumitomo Metal Mining Co., Ltd.</v>
      </c>
    </row>
    <row r="46" spans="1:28" s="272" customFormat="1" ht="216.75">
      <c r="A46" s="215" t="s">
        <v>730</v>
      </c>
      <c r="B46" s="215" t="s">
        <v>1130</v>
      </c>
      <c r="C46" s="219" t="s">
        <v>915</v>
      </c>
      <c r="D46" s="278" t="s">
        <v>915</v>
      </c>
      <c r="E46" s="215" t="s">
        <v>2462</v>
      </c>
      <c r="F46" s="215" t="str">
        <f ca="1">IF(ISERROR($V46),"",OFFSET('Smelter Look-up'!$E$4,$V46-4,0))</f>
        <v>CID001761</v>
      </c>
      <c r="G46" s="215" t="str">
        <f ca="1">IF(C46=$X$4,"Enter smelter details",IF(ISERROR($V46),"",OFFSET('Smelter Look-up'!$F$4,$V46-4,0)))</f>
        <v>RMI</v>
      </c>
      <c r="H46" s="216" t="s">
        <v>15712</v>
      </c>
      <c r="I46" s="217" t="s">
        <v>1669</v>
      </c>
      <c r="J46" s="217" t="s">
        <v>11721</v>
      </c>
      <c r="K46" s="268"/>
      <c r="L46" s="268"/>
      <c r="M46" s="268"/>
      <c r="N46" s="268" t="s">
        <v>15713</v>
      </c>
      <c r="O46" s="268" t="s">
        <v>15714</v>
      </c>
      <c r="P46" s="218"/>
      <c r="Q46" s="269" t="s">
        <v>15609</v>
      </c>
      <c r="R46" s="215" t="str">
        <f ca="1">IF(ISERROR($V46),"",OFFSET('Smelter Look-up'!$C$4,$V46-4,0)&amp;"")</f>
        <v>Solar Applied Materials Technology Corp.</v>
      </c>
      <c r="S46" s="222" t="str">
        <f t="shared" ca="1" si="6"/>
        <v>TW</v>
      </c>
      <c r="T46" s="222" t="str">
        <f ca="1">IF(B46="","",IF(ISERROR(MATCH($J46,SorP!$B$1:$B$6230,0)),"",INDIRECT("'SorP'!$A$"&amp;MATCH($J46,SorP!$B$1:$B$6230,0))))</f>
        <v>TW-TNN</v>
      </c>
      <c r="U46" s="238"/>
      <c r="V46" s="270">
        <f>IF(C46="",NA(),MATCH($B46&amp;$C46,'Smelter Look-up'!$J:$J,0))</f>
        <v>252</v>
      </c>
      <c r="W46" s="271"/>
      <c r="X46" s="271">
        <f t="shared" si="7"/>
        <v>0</v>
      </c>
      <c r="Y46" s="271"/>
      <c r="Z46" s="271"/>
      <c r="AB46" s="273" t="str">
        <f t="shared" si="8"/>
        <v>GoldSolar Applied Materials Technology Corp.</v>
      </c>
    </row>
    <row r="47" spans="1:28" s="272" customFormat="1" ht="114.75">
      <c r="A47" s="215" t="s">
        <v>729</v>
      </c>
      <c r="B47" s="215" t="s">
        <v>1130</v>
      </c>
      <c r="C47" s="219" t="s">
        <v>914</v>
      </c>
      <c r="D47" s="278" t="s">
        <v>914</v>
      </c>
      <c r="E47" s="215" t="s">
        <v>883</v>
      </c>
      <c r="F47" s="215" t="str">
        <f ca="1">IF(ISERROR($V47),"",OFFSET('Smelter Look-up'!$E$4,$V47-4,0))</f>
        <v>CID001756</v>
      </c>
      <c r="G47" s="215" t="str">
        <f ca="1">IF(C47=$X$4,"Enter smelter details",IF(ISERROR($V47),"",OFFSET('Smelter Look-up'!$F$4,$V47-4,0)))</f>
        <v>RMI</v>
      </c>
      <c r="H47" s="216" t="s">
        <v>15715</v>
      </c>
      <c r="I47" s="217" t="s">
        <v>1668</v>
      </c>
      <c r="J47" s="217" t="s">
        <v>10169</v>
      </c>
      <c r="K47" s="268"/>
      <c r="L47" s="268"/>
      <c r="M47" s="268"/>
      <c r="N47" s="268" t="s">
        <v>15716</v>
      </c>
      <c r="O47" s="268" t="s">
        <v>15717</v>
      </c>
      <c r="P47" s="218"/>
      <c r="Q47" s="269" t="s">
        <v>15609</v>
      </c>
      <c r="R47" s="215" t="str">
        <f ca="1">IF(ISERROR($V47),"",OFFSET('Smelter Look-up'!$C$4,$V47-4,0)&amp;"")</f>
        <v>SOE Shyolkovsky Factory of Secondary Precious Metals</v>
      </c>
      <c r="S47" s="222" t="str">
        <f t="shared" ca="1" si="6"/>
        <v>RU</v>
      </c>
      <c r="T47" s="222" t="str">
        <f ca="1">IF(B47="","",IF(ISERROR(MATCH($J47,SorP!$B$1:$B$6230,0)),"",INDIRECT("'SorP'!$A$"&amp;MATCH($J47,SorP!$B$1:$B$6230,0))))</f>
        <v>RU-MOS</v>
      </c>
      <c r="U47" s="238"/>
      <c r="V47" s="270">
        <f>IF(C47="",NA(),MATCH($B47&amp;$C47,'Smelter Look-up'!$J:$J,0))</f>
        <v>251</v>
      </c>
      <c r="W47" s="271"/>
      <c r="X47" s="271">
        <f t="shared" si="7"/>
        <v>0</v>
      </c>
      <c r="Y47" s="271"/>
      <c r="Z47" s="271"/>
      <c r="AB47" s="273" t="str">
        <f t="shared" si="8"/>
        <v>GoldSOE Shyolkovsky Factory of Secondary Precious Metals</v>
      </c>
    </row>
    <row r="48" spans="1:28" s="272" customFormat="1" ht="89.25">
      <c r="A48" s="215" t="s">
        <v>1392</v>
      </c>
      <c r="B48" s="215" t="s">
        <v>1130</v>
      </c>
      <c r="C48" s="219" t="s">
        <v>2177</v>
      </c>
      <c r="D48" s="278" t="s">
        <v>2177</v>
      </c>
      <c r="E48" s="215" t="s">
        <v>1100</v>
      </c>
      <c r="F48" s="215" t="str">
        <f ca="1">IF(ISERROR($V48),"",OFFSET('Smelter Look-up'!$E$4,$V48-4,0))</f>
        <v>CID001736</v>
      </c>
      <c r="G48" s="215" t="str">
        <f ca="1">IF(C48=$X$4,"Enter smelter details",IF(ISERROR($V48),"",OFFSET('Smelter Look-up'!$F$4,$V48-4,0)))</f>
        <v>RMI</v>
      </c>
      <c r="H48" s="216" t="s">
        <v>15705</v>
      </c>
      <c r="I48" s="217" t="s">
        <v>1667</v>
      </c>
      <c r="J48" s="217" t="s">
        <v>13849</v>
      </c>
      <c r="K48" s="268"/>
      <c r="L48" s="268"/>
      <c r="M48" s="268"/>
      <c r="N48" s="268" t="s">
        <v>15612</v>
      </c>
      <c r="O48" s="268" t="s">
        <v>15718</v>
      </c>
      <c r="P48" s="218"/>
      <c r="Q48" s="269" t="s">
        <v>15609</v>
      </c>
      <c r="R48" s="215" t="str">
        <f ca="1">IF(ISERROR($V48),"",OFFSET('Smelter Look-up'!$C$4,$V48-4,0)&amp;"")</f>
        <v>Sichuan Tianze Precious Metals Co., Ltd.</v>
      </c>
      <c r="S48" s="222" t="str">
        <f t="shared" ca="1" si="6"/>
        <v>CN</v>
      </c>
      <c r="T48" s="222" t="str">
        <f ca="1">IF(B48="","",IF(ISERROR(MATCH($J48,SorP!$B$1:$B$6230,0)),"",INDIRECT("'SorP'!$A$"&amp;MATCH($J48,SorP!$B$1:$B$6230,0))))</f>
        <v>CN-SC</v>
      </c>
      <c r="U48" s="238"/>
      <c r="V48" s="270">
        <f>IF(C48="",NA(),MATCH($B48&amp;$C48,'Smelter Look-up'!$J:$J,0))</f>
        <v>247</v>
      </c>
      <c r="W48" s="271"/>
      <c r="X48" s="271">
        <f t="shared" si="7"/>
        <v>0</v>
      </c>
      <c r="Y48" s="271"/>
      <c r="Z48" s="271"/>
      <c r="AB48" s="273" t="str">
        <f t="shared" si="8"/>
        <v>GoldSichuan Tianze Precious Metals Co., Ltd.</v>
      </c>
    </row>
    <row r="49" spans="1:28" s="272" customFormat="1" ht="153">
      <c r="A49" s="215" t="s">
        <v>728</v>
      </c>
      <c r="B49" s="215" t="s">
        <v>1130</v>
      </c>
      <c r="C49" s="219" t="s">
        <v>2176</v>
      </c>
      <c r="D49" s="278" t="s">
        <v>2176</v>
      </c>
      <c r="E49" s="215" t="s">
        <v>1100</v>
      </c>
      <c r="F49" s="215" t="str">
        <f ca="1">IF(ISERROR($V49),"",OFFSET('Smelter Look-up'!$E$4,$V49-4,0))</f>
        <v>CID001622</v>
      </c>
      <c r="G49" s="215" t="str">
        <f ca="1">IF(C49=$X$4,"Enter smelter details",IF(ISERROR($V49),"",OFFSET('Smelter Look-up'!$F$4,$V49-4,0)))</f>
        <v>RMI</v>
      </c>
      <c r="H49" s="216" t="s">
        <v>15719</v>
      </c>
      <c r="I49" s="217" t="s">
        <v>1592</v>
      </c>
      <c r="J49" s="217" t="s">
        <v>13843</v>
      </c>
      <c r="K49" s="268"/>
      <c r="L49" s="268"/>
      <c r="M49" s="268"/>
      <c r="N49" s="268" t="s">
        <v>15720</v>
      </c>
      <c r="O49" s="268" t="s">
        <v>15721</v>
      </c>
      <c r="P49" s="218"/>
      <c r="Q49" s="269" t="s">
        <v>15609</v>
      </c>
      <c r="R49" s="215" t="str">
        <f ca="1">IF(ISERROR($V49),"",OFFSET('Smelter Look-up'!$C$4,$V49-4,0)&amp;"")</f>
        <v>Shandong Zhaojin Gold &amp; Silver Refinery Co., Ltd.</v>
      </c>
      <c r="S49" s="222" t="str">
        <f t="shared" ca="1" si="6"/>
        <v>CN</v>
      </c>
      <c r="T49" s="222" t="str">
        <f ca="1">IF(B49="","",IF(ISERROR(MATCH($J49,SorP!$B$1:$B$6230,0)),"",INDIRECT("'SorP'!$A$"&amp;MATCH($J49,SorP!$B$1:$B$6230,0))))</f>
        <v>CN-SD</v>
      </c>
      <c r="U49" s="238"/>
      <c r="V49" s="270">
        <f>IF(C49="",NA(),MATCH($B49&amp;$C49,'Smelter Look-up'!$J:$J,0))</f>
        <v>241</v>
      </c>
      <c r="W49" s="271"/>
      <c r="X49" s="271">
        <f t="shared" si="7"/>
        <v>0</v>
      </c>
      <c r="Y49" s="271"/>
      <c r="Z49" s="271"/>
      <c r="AB49" s="273" t="str">
        <f t="shared" si="8"/>
        <v>GoldShandong Zhaojin Gold &amp; Silver Refinery Co., Ltd.</v>
      </c>
    </row>
    <row r="50" spans="1:28" s="272" customFormat="1" ht="153">
      <c r="A50" s="215" t="s">
        <v>727</v>
      </c>
      <c r="B50" s="215" t="s">
        <v>1130</v>
      </c>
      <c r="C50" s="219" t="s">
        <v>12645</v>
      </c>
      <c r="D50" s="278" t="s">
        <v>12645</v>
      </c>
      <c r="E50" s="215" t="s">
        <v>1102</v>
      </c>
      <c r="F50" s="215" t="str">
        <f ca="1">IF(ISERROR($V50),"",OFFSET('Smelter Look-up'!$E$4,$V50-4,0))</f>
        <v>CID001585</v>
      </c>
      <c r="G50" s="215" t="str">
        <f ca="1">IF(C50=$X$4,"Enter smelter details",IF(ISERROR($V50),"",OFFSET('Smelter Look-up'!$F$4,$V50-4,0)))</f>
        <v>RMI</v>
      </c>
      <c r="H50" s="216" t="s">
        <v>15722</v>
      </c>
      <c r="I50" s="217" t="s">
        <v>1659</v>
      </c>
      <c r="J50" s="217" t="s">
        <v>4719</v>
      </c>
      <c r="K50" s="268"/>
      <c r="L50" s="268"/>
      <c r="M50" s="268"/>
      <c r="N50" s="268" t="s">
        <v>15723</v>
      </c>
      <c r="O50" s="268" t="s">
        <v>15724</v>
      </c>
      <c r="P50" s="218"/>
      <c r="Q50" s="269" t="s">
        <v>15609</v>
      </c>
      <c r="R50" s="215" t="str">
        <f ca="1">IF(ISERROR($V50),"",OFFSET('Smelter Look-up'!$C$4,$V50-4,0)&amp;"")</f>
        <v>SEMPSA Joyeria Plateria S.A.</v>
      </c>
      <c r="S50" s="222" t="str">
        <f t="shared" ca="1" si="6"/>
        <v>ES</v>
      </c>
      <c r="T50" s="222" t="str">
        <f ca="1">IF(B50="","",IF(ISERROR(MATCH($J50,SorP!$B$1:$B$6230,0)),"",INDIRECT("'SorP'!$A$"&amp;MATCH($J50,SorP!$B$1:$B$6230,0))))</f>
        <v>ES-MD</v>
      </c>
      <c r="U50" s="238"/>
      <c r="V50" s="270">
        <f>IF(C50="",NA(),MATCH($B50&amp;$C50,'Smelter Look-up'!$J:$J,0))</f>
        <v>229</v>
      </c>
      <c r="W50" s="271"/>
      <c r="X50" s="271">
        <f t="shared" si="7"/>
        <v>0</v>
      </c>
      <c r="Y50" s="271"/>
      <c r="Z50" s="271"/>
      <c r="AB50" s="273" t="str">
        <f t="shared" si="8"/>
        <v>GoldSEMPSA Joyeria Plateria S.A.</v>
      </c>
    </row>
    <row r="51" spans="1:28" s="272" customFormat="1" ht="140.25">
      <c r="A51" s="215" t="s">
        <v>1409</v>
      </c>
      <c r="B51" s="215" t="s">
        <v>1130</v>
      </c>
      <c r="C51" s="219" t="s">
        <v>1408</v>
      </c>
      <c r="D51" s="278" t="s">
        <v>1408</v>
      </c>
      <c r="E51" s="215" t="s">
        <v>1111</v>
      </c>
      <c r="F51" s="215" t="str">
        <f ca="1">IF(ISERROR($V51),"",OFFSET('Smelter Look-up'!$E$4,$V51-4,0))</f>
        <v>CID001555</v>
      </c>
      <c r="G51" s="215" t="str">
        <f ca="1">IF(C51=$X$4,"Enter smelter details",IF(ISERROR($V51),"",OFFSET('Smelter Look-up'!$F$4,$V51-4,0)))</f>
        <v>RMI</v>
      </c>
      <c r="H51" s="216" t="s">
        <v>15725</v>
      </c>
      <c r="I51" s="217" t="s">
        <v>1578</v>
      </c>
      <c r="J51" s="217" t="s">
        <v>13080</v>
      </c>
      <c r="K51" s="268"/>
      <c r="L51" s="268"/>
      <c r="M51" s="268"/>
      <c r="N51" s="268" t="s">
        <v>15726</v>
      </c>
      <c r="O51" s="268" t="s">
        <v>15727</v>
      </c>
      <c r="P51" s="218"/>
      <c r="Q51" s="269" t="s">
        <v>15609</v>
      </c>
      <c r="R51" s="215" t="str">
        <f ca="1">IF(ISERROR($V51),"",OFFSET('Smelter Look-up'!$C$4,$V51-4,0)&amp;"")</f>
        <v>Samduck Precious Metals</v>
      </c>
      <c r="S51" s="222" t="str">
        <f t="shared" ca="1" si="6"/>
        <v>KR</v>
      </c>
      <c r="T51" s="222" t="str">
        <f ca="1">IF(B51="","",IF(ISERROR(MATCH($J51,SorP!$B$1:$B$6230,0)),"",INDIRECT("'SorP'!$A$"&amp;MATCH($J51,SorP!$B$1:$B$6230,0))))</f>
        <v>KR-28</v>
      </c>
      <c r="U51" s="238"/>
      <c r="V51" s="270">
        <f>IF(C51="",NA(),MATCH($B51&amp;$C51,'Smelter Look-up'!$J:$J,0))</f>
        <v>223</v>
      </c>
      <c r="W51" s="271"/>
      <c r="X51" s="271">
        <f t="shared" si="7"/>
        <v>0</v>
      </c>
      <c r="Y51" s="271"/>
      <c r="Z51" s="271"/>
      <c r="AB51" s="273" t="str">
        <f t="shared" si="8"/>
        <v>GoldSamduck Precious Metals</v>
      </c>
    </row>
    <row r="52" spans="1:28" s="272" customFormat="1" ht="114.75">
      <c r="A52" s="215" t="s">
        <v>724</v>
      </c>
      <c r="B52" s="215" t="s">
        <v>1130</v>
      </c>
      <c r="C52" s="219" t="s">
        <v>913</v>
      </c>
      <c r="D52" s="278" t="s">
        <v>913</v>
      </c>
      <c r="E52" s="215" t="s">
        <v>1097</v>
      </c>
      <c r="F52" s="215" t="str">
        <f ca="1">IF(ISERROR($V52),"",OFFSET('Smelter Look-up'!$E$4,$V52-4,0))</f>
        <v>CID001534</v>
      </c>
      <c r="G52" s="215" t="str">
        <f ca="1">IF(C52=$X$4,"Enter smelter details",IF(ISERROR($V52),"",OFFSET('Smelter Look-up'!$F$4,$V52-4,0)))</f>
        <v>RMI</v>
      </c>
      <c r="H52" s="216" t="s">
        <v>15728</v>
      </c>
      <c r="I52" s="217" t="s">
        <v>1653</v>
      </c>
      <c r="J52" s="217" t="s">
        <v>1610</v>
      </c>
      <c r="K52" s="268"/>
      <c r="L52" s="268"/>
      <c r="M52" s="268"/>
      <c r="N52" s="268" t="s">
        <v>15729</v>
      </c>
      <c r="O52" s="268" t="s">
        <v>15730</v>
      </c>
      <c r="P52" s="218"/>
      <c r="Q52" s="269" t="s">
        <v>15609</v>
      </c>
      <c r="R52" s="215" t="str">
        <f ca="1">IF(ISERROR($V52),"",OFFSET('Smelter Look-up'!$C$4,$V52-4,0)&amp;"")</f>
        <v>Royal Canadian Mint</v>
      </c>
      <c r="S52" s="222" t="str">
        <f t="shared" ca="1" si="6"/>
        <v>CA</v>
      </c>
      <c r="T52" s="222" t="str">
        <f ca="1">IF(B52="","",IF(ISERROR(MATCH($J52,SorP!$B$1:$B$6230,0)),"",INDIRECT("'SorP'!$A$"&amp;MATCH($J52,SorP!$B$1:$B$6230,0))))</f>
        <v>CA-ON</v>
      </c>
      <c r="U52" s="238"/>
      <c r="V52" s="270">
        <f>IF(C52="",NA(),MATCH($B52&amp;$C52,'Smelter Look-up'!$J:$J,0))</f>
        <v>215</v>
      </c>
      <c r="W52" s="271"/>
      <c r="X52" s="271">
        <f t="shared" si="7"/>
        <v>0</v>
      </c>
      <c r="Y52" s="271"/>
      <c r="Z52" s="271"/>
      <c r="AB52" s="273" t="str">
        <f t="shared" si="8"/>
        <v>GoldRoyal Canadian Mint</v>
      </c>
    </row>
    <row r="53" spans="1:28" s="272" customFormat="1" ht="165.75">
      <c r="A53" s="215" t="s">
        <v>723</v>
      </c>
      <c r="B53" s="215" t="s">
        <v>1130</v>
      </c>
      <c r="C53" s="219" t="s">
        <v>2174</v>
      </c>
      <c r="D53" s="278" t="s">
        <v>2174</v>
      </c>
      <c r="E53" s="215" t="s">
        <v>893</v>
      </c>
      <c r="F53" s="215" t="str">
        <f ca="1">IF(ISERROR($V53),"",OFFSET('Smelter Look-up'!$E$4,$V53-4,0))</f>
        <v>CID001512</v>
      </c>
      <c r="G53" s="215" t="str">
        <f ca="1">IF(C53=$X$4,"Enter smelter details",IF(ISERROR($V53),"",OFFSET('Smelter Look-up'!$F$4,$V53-4,0)))</f>
        <v>RMI</v>
      </c>
      <c r="H53" s="216" t="s">
        <v>15731</v>
      </c>
      <c r="I53" s="217" t="s">
        <v>1651</v>
      </c>
      <c r="J53" s="217" t="s">
        <v>1652</v>
      </c>
      <c r="K53" s="268"/>
      <c r="L53" s="268"/>
      <c r="M53" s="268"/>
      <c r="N53" s="268" t="s">
        <v>15732</v>
      </c>
      <c r="O53" s="268" t="s">
        <v>15733</v>
      </c>
      <c r="P53" s="218"/>
      <c r="Q53" s="269" t="s">
        <v>15609</v>
      </c>
      <c r="R53" s="215" t="str">
        <f ca="1">IF(ISERROR($V53),"",OFFSET('Smelter Look-up'!$C$4,$V53-4,0)&amp;"")</f>
        <v>Rand Refinery (Pty) Ltd.</v>
      </c>
      <c r="S53" s="222" t="str">
        <f t="shared" ca="1" si="6"/>
        <v>ZA</v>
      </c>
      <c r="T53" s="222" t="str">
        <f ca="1">IF(B53="","",IF(ISERROR(MATCH($J53,SorP!$B$1:$B$6230,0)),"",INDIRECT("'SorP'!$A$"&amp;MATCH($J53,SorP!$B$1:$B$6230,0))))</f>
        <v>ZA-GT</v>
      </c>
      <c r="U53" s="238"/>
      <c r="V53" s="270">
        <f>IF(C53="",NA(),MATCH($B53&amp;$C53,'Smelter Look-up'!$J:$J,0))</f>
        <v>210</v>
      </c>
      <c r="W53" s="271"/>
      <c r="X53" s="271">
        <f t="shared" si="7"/>
        <v>0</v>
      </c>
      <c r="Y53" s="271"/>
      <c r="Z53" s="271"/>
      <c r="AB53" s="273" t="str">
        <f t="shared" si="8"/>
        <v>GoldRand Refinery (Pty) Ltd.</v>
      </c>
    </row>
    <row r="54" spans="1:28" s="272" customFormat="1" ht="76.5">
      <c r="A54" s="215" t="s">
        <v>722</v>
      </c>
      <c r="B54" s="215" t="s">
        <v>1130</v>
      </c>
      <c r="C54" s="219" t="s">
        <v>12644</v>
      </c>
      <c r="D54" s="278" t="s">
        <v>12644</v>
      </c>
      <c r="E54" s="215" t="s">
        <v>1098</v>
      </c>
      <c r="F54" s="215" t="str">
        <f ca="1">IF(ISERROR($V54),"",OFFSET('Smelter Look-up'!$E$4,$V54-4,0))</f>
        <v>CID001498</v>
      </c>
      <c r="G54" s="215" t="str">
        <f ca="1">IF(C54=$X$4,"Enter smelter details",IF(ISERROR($V54),"",OFFSET('Smelter Look-up'!$F$4,$V54-4,0)))</f>
        <v>RMI</v>
      </c>
      <c r="H54" s="216" t="s">
        <v>15734</v>
      </c>
      <c r="I54" s="217" t="s">
        <v>1650</v>
      </c>
      <c r="J54" s="217" t="s">
        <v>1630</v>
      </c>
      <c r="K54" s="268"/>
      <c r="L54" s="268"/>
      <c r="M54" s="268"/>
      <c r="N54" s="268" t="s">
        <v>15612</v>
      </c>
      <c r="O54" s="268" t="s">
        <v>15735</v>
      </c>
      <c r="P54" s="218"/>
      <c r="Q54" s="269" t="s">
        <v>15609</v>
      </c>
      <c r="R54" s="215" t="str">
        <f ca="1">IF(ISERROR($V54),"",OFFSET('Smelter Look-up'!$C$4,$V54-4,0)&amp;"")</f>
        <v>PX Precinox S.A.</v>
      </c>
      <c r="S54" s="222" t="str">
        <f t="shared" ca="1" si="6"/>
        <v>CH</v>
      </c>
      <c r="T54" s="222" t="str">
        <f ca="1">IF(B54="","",IF(ISERROR(MATCH($J54,SorP!$B$1:$B$6230,0)),"",INDIRECT("'SorP'!$A$"&amp;MATCH($J54,SorP!$B$1:$B$6230,0))))</f>
        <v>CH-NE</v>
      </c>
      <c r="U54" s="238"/>
      <c r="V54" s="270">
        <f>IF(C54="",NA(),MATCH($B54&amp;$C54,'Smelter Look-up'!$J:$J,0))</f>
        <v>207</v>
      </c>
      <c r="W54" s="271"/>
      <c r="X54" s="271">
        <f t="shared" si="7"/>
        <v>0</v>
      </c>
      <c r="Y54" s="271"/>
      <c r="Z54" s="271"/>
      <c r="AB54" s="273" t="str">
        <f t="shared" si="8"/>
        <v>GoldPX Precinox S.A.</v>
      </c>
    </row>
    <row r="55" spans="1:28" s="272" customFormat="1" ht="127.5">
      <c r="A55" s="215" t="s">
        <v>721</v>
      </c>
      <c r="B55" s="215" t="s">
        <v>1130</v>
      </c>
      <c r="C55" s="219" t="s">
        <v>1232</v>
      </c>
      <c r="D55" s="278" t="s">
        <v>1232</v>
      </c>
      <c r="E55" s="215" t="s">
        <v>1105</v>
      </c>
      <c r="F55" s="215" t="str">
        <f ca="1">IF(ISERROR($V55),"",OFFSET('Smelter Look-up'!$E$4,$V55-4,0))</f>
        <v>CID001397</v>
      </c>
      <c r="G55" s="215" t="str">
        <f ca="1">IF(C55=$X$4,"Enter smelter details",IF(ISERROR($V55),"",OFFSET('Smelter Look-up'!$F$4,$V55-4,0)))</f>
        <v>RMI</v>
      </c>
      <c r="H55" s="216" t="s">
        <v>15736</v>
      </c>
      <c r="I55" s="217" t="s">
        <v>1649</v>
      </c>
      <c r="J55" s="217" t="s">
        <v>6073</v>
      </c>
      <c r="K55" s="268"/>
      <c r="L55" s="268"/>
      <c r="M55" s="268"/>
      <c r="N55" s="268" t="s">
        <v>15737</v>
      </c>
      <c r="O55" s="268" t="s">
        <v>15738</v>
      </c>
      <c r="P55" s="218"/>
      <c r="Q55" s="269" t="s">
        <v>15609</v>
      </c>
      <c r="R55" s="215" t="str">
        <f ca="1">IF(ISERROR($V55),"",OFFSET('Smelter Look-up'!$C$4,$V55-4,0)&amp;"")</f>
        <v>PT Aneka Tambang (Persero) Tbk</v>
      </c>
      <c r="S55" s="222" t="str">
        <f t="shared" ca="1" si="6"/>
        <v>ID</v>
      </c>
      <c r="T55" s="222" t="str">
        <f ca="1">IF(B55="","",IF(ISERROR(MATCH($J55,SorP!$B$1:$B$6230,0)),"",INDIRECT("'SorP'!$A$"&amp;MATCH($J55,SorP!$B$1:$B$6230,0))))</f>
        <v>ID-JK</v>
      </c>
      <c r="U55" s="238"/>
      <c r="V55" s="270">
        <f>IF(C55="",NA(),MATCH($B55&amp;$C55,'Smelter Look-up'!$J:$J,0))</f>
        <v>206</v>
      </c>
      <c r="W55" s="271"/>
      <c r="X55" s="271">
        <f t="shared" si="7"/>
        <v>0</v>
      </c>
      <c r="Y55" s="271"/>
      <c r="Z55" s="271"/>
      <c r="AB55" s="273" t="str">
        <f t="shared" si="8"/>
        <v>GoldPT Aneka Tambang (Persero) Tbk</v>
      </c>
    </row>
    <row r="56" spans="1:28" s="272" customFormat="1" ht="114.75">
      <c r="A56" s="215" t="s">
        <v>720</v>
      </c>
      <c r="B56" s="215" t="s">
        <v>1130</v>
      </c>
      <c r="C56" s="219" t="s">
        <v>912</v>
      </c>
      <c r="D56" s="278" t="s">
        <v>912</v>
      </c>
      <c r="E56" s="215" t="s">
        <v>883</v>
      </c>
      <c r="F56" s="215" t="str">
        <f ca="1">IF(ISERROR($V56),"",OFFSET('Smelter Look-up'!$E$4,$V56-4,0))</f>
        <v>CID001386</v>
      </c>
      <c r="G56" s="215" t="str">
        <f ca="1">IF(C56=$X$4,"Enter smelter details",IF(ISERROR($V56),"",OFFSET('Smelter Look-up'!$F$4,$V56-4,0)))</f>
        <v>RMI</v>
      </c>
      <c r="H56" s="216" t="s">
        <v>15739</v>
      </c>
      <c r="I56" s="217" t="s">
        <v>1648</v>
      </c>
      <c r="J56" s="217" t="s">
        <v>10105</v>
      </c>
      <c r="K56" s="268"/>
      <c r="L56" s="268"/>
      <c r="M56" s="268"/>
      <c r="N56" s="268" t="s">
        <v>15716</v>
      </c>
      <c r="O56" s="268" t="s">
        <v>15740</v>
      </c>
      <c r="P56" s="218"/>
      <c r="Q56" s="269" t="s">
        <v>15609</v>
      </c>
      <c r="R56" s="215" t="str">
        <f ca="1">IF(ISERROR($V56),"",OFFSET('Smelter Look-up'!$C$4,$V56-4,0)&amp;"")</f>
        <v>Prioksky Plant of Non-Ferrous Metals</v>
      </c>
      <c r="S56" s="222" t="str">
        <f t="shared" ca="1" si="6"/>
        <v>RU</v>
      </c>
      <c r="T56" s="222" t="str">
        <f ca="1">IF(B56="","",IF(ISERROR(MATCH($J56,SorP!$B$1:$B$6230,0)),"",INDIRECT("'SorP'!$A$"&amp;MATCH($J56,SorP!$B$1:$B$6230,0))))</f>
        <v>RU-RYA</v>
      </c>
      <c r="U56" s="238"/>
      <c r="V56" s="270">
        <f>IF(C56="",NA(),MATCH($B56&amp;$C56,'Smelter Look-up'!$J:$J,0))</f>
        <v>204</v>
      </c>
      <c r="W56" s="271"/>
      <c r="X56" s="271">
        <f t="shared" si="7"/>
        <v>0</v>
      </c>
      <c r="Y56" s="271"/>
      <c r="Z56" s="271"/>
      <c r="AB56" s="273" t="str">
        <f t="shared" si="8"/>
        <v>GoldPrioksky Plant of Non-Ferrous Metals</v>
      </c>
    </row>
    <row r="57" spans="1:28" s="272" customFormat="1" ht="204">
      <c r="A57" s="215" t="s">
        <v>718</v>
      </c>
      <c r="B57" s="215" t="s">
        <v>1130</v>
      </c>
      <c r="C57" s="219" t="s">
        <v>2339</v>
      </c>
      <c r="D57" s="278" t="s">
        <v>2339</v>
      </c>
      <c r="E57" s="215" t="s">
        <v>1098</v>
      </c>
      <c r="F57" s="215" t="str">
        <f ca="1">IF(ISERROR($V57),"",OFFSET('Smelter Look-up'!$E$4,$V57-4,0))</f>
        <v>CID001352</v>
      </c>
      <c r="G57" s="215" t="str">
        <f ca="1">IF(C57=$X$4,"Enter smelter details",IF(ISERROR($V57),"",OFFSET('Smelter Look-up'!$F$4,$V57-4,0)))</f>
        <v>RMI</v>
      </c>
      <c r="H57" s="216" t="s">
        <v>15741</v>
      </c>
      <c r="I57" s="217" t="s">
        <v>1647</v>
      </c>
      <c r="J57" s="217" t="s">
        <v>1556</v>
      </c>
      <c r="K57" s="268"/>
      <c r="L57" s="268"/>
      <c r="M57" s="268"/>
      <c r="N57" s="268" t="s">
        <v>15742</v>
      </c>
      <c r="O57" s="268" t="s">
        <v>15743</v>
      </c>
      <c r="P57" s="218"/>
      <c r="Q57" s="269" t="s">
        <v>15609</v>
      </c>
      <c r="R57" s="215" t="str">
        <f ca="1">IF(ISERROR($V57),"",OFFSET('Smelter Look-up'!$C$4,$V57-4,0)&amp;"")</f>
        <v>PAMP S.A.</v>
      </c>
      <c r="S57" s="222" t="str">
        <f t="shared" ca="1" si="6"/>
        <v>CH</v>
      </c>
      <c r="T57" s="222" t="str">
        <f ca="1">IF(B57="","",IF(ISERROR(MATCH($J57,SorP!$B$1:$B$6230,0)),"",INDIRECT("'SorP'!$A$"&amp;MATCH($J57,SorP!$B$1:$B$6230,0))))</f>
        <v>CH-TI</v>
      </c>
      <c r="U57" s="238"/>
      <c r="V57" s="270">
        <f>IF(C57="",NA(),MATCH($B57&amp;$C57,'Smelter Look-up'!$J:$J,0))</f>
        <v>197</v>
      </c>
      <c r="W57" s="271"/>
      <c r="X57" s="271">
        <f t="shared" si="7"/>
        <v>0</v>
      </c>
      <c r="Y57" s="271"/>
      <c r="Z57" s="271"/>
      <c r="AB57" s="273" t="str">
        <f t="shared" si="8"/>
        <v>GoldPAMP S.A.</v>
      </c>
    </row>
    <row r="58" spans="1:28" s="272" customFormat="1" ht="153">
      <c r="A58" s="215" t="s">
        <v>717</v>
      </c>
      <c r="B58" s="215" t="s">
        <v>1130</v>
      </c>
      <c r="C58" s="219" t="s">
        <v>2276</v>
      </c>
      <c r="D58" s="278" t="s">
        <v>2276</v>
      </c>
      <c r="E58" s="215" t="s">
        <v>883</v>
      </c>
      <c r="F58" s="215" t="str">
        <f ca="1">IF(ISERROR($V58),"",OFFSET('Smelter Look-up'!$E$4,$V58-4,0))</f>
        <v>CID001326</v>
      </c>
      <c r="G58" s="215" t="str">
        <f ca="1">IF(C58=$X$4,"Enter smelter details",IF(ISERROR($V58),"",OFFSET('Smelter Look-up'!$F$4,$V58-4,0)))</f>
        <v>RMI</v>
      </c>
      <c r="H58" s="216" t="s">
        <v>15744</v>
      </c>
      <c r="I58" s="217" t="s">
        <v>1645</v>
      </c>
      <c r="J58" s="217" t="s">
        <v>10245</v>
      </c>
      <c r="K58" s="268"/>
      <c r="L58" s="268"/>
      <c r="M58" s="268"/>
      <c r="N58" s="268" t="s">
        <v>15666</v>
      </c>
      <c r="O58" s="268" t="s">
        <v>15745</v>
      </c>
      <c r="P58" s="218"/>
      <c r="Q58" s="269" t="s">
        <v>15609</v>
      </c>
      <c r="R58" s="215" t="str">
        <f ca="1">IF(ISERROR($V58),"",OFFSET('Smelter Look-up'!$C$4,$V58-4,0)&amp;"")</f>
        <v>OJSC "The Gulidov Krasnoyarsk Non-Ferrous Metals Plant" (OJSC Krastsvetmet)</v>
      </c>
      <c r="S58" s="222" t="str">
        <f t="shared" ca="1" si="6"/>
        <v>RU</v>
      </c>
      <c r="T58" s="222" t="str">
        <f ca="1">IF(B58="","",IF(ISERROR(MATCH($J58,SorP!$B$1:$B$6230,0)),"",INDIRECT("'SorP'!$A$"&amp;MATCH($J58,SorP!$B$1:$B$6230,0))))</f>
        <v>RU-KYA</v>
      </c>
      <c r="U58" s="238"/>
      <c r="V58" s="270">
        <f>IF(C58="",NA(),MATCH($B58&amp;$C58,'Smelter Look-up'!$J:$J,0))</f>
        <v>194</v>
      </c>
      <c r="W58" s="271"/>
      <c r="X58" s="271">
        <f t="shared" si="7"/>
        <v>0</v>
      </c>
      <c r="Y58" s="271"/>
      <c r="Z58" s="271"/>
      <c r="AB58" s="273" t="str">
        <f t="shared" si="8"/>
        <v>GoldOJSC "The Gulidov Krasnoyarsk Non-Ferrous Metals Plant" (OJSC Krastsvetmet)</v>
      </c>
    </row>
    <row r="59" spans="1:28" s="272" customFormat="1" ht="178.5">
      <c r="A59" s="215" t="s">
        <v>716</v>
      </c>
      <c r="B59" s="215" t="s">
        <v>1130</v>
      </c>
      <c r="C59" s="219" t="s">
        <v>2171</v>
      </c>
      <c r="D59" s="278" t="s">
        <v>2171</v>
      </c>
      <c r="E59" s="215" t="s">
        <v>1108</v>
      </c>
      <c r="F59" s="215" t="str">
        <f ca="1">IF(ISERROR($V59),"",OFFSET('Smelter Look-up'!$E$4,$V59-4,0))</f>
        <v>CID001325</v>
      </c>
      <c r="G59" s="215" t="str">
        <f ca="1">IF(C59=$X$4,"Enter smelter details",IF(ISERROR($V59),"",OFFSET('Smelter Look-up'!$F$4,$V59-4,0)))</f>
        <v>RMI</v>
      </c>
      <c r="H59" s="216" t="s">
        <v>15746</v>
      </c>
      <c r="I59" s="217" t="s">
        <v>1643</v>
      </c>
      <c r="J59" s="217" t="s">
        <v>1644</v>
      </c>
      <c r="K59" s="268"/>
      <c r="L59" s="268"/>
      <c r="M59" s="268"/>
      <c r="N59" s="268" t="s">
        <v>15747</v>
      </c>
      <c r="O59" s="268" t="s">
        <v>15748</v>
      </c>
      <c r="P59" s="218"/>
      <c r="Q59" s="269" t="s">
        <v>15609</v>
      </c>
      <c r="R59" s="215" t="str">
        <f ca="1">IF(ISERROR($V59),"",OFFSET('Smelter Look-up'!$C$4,$V59-4,0)&amp;"")</f>
        <v>Ohura Precious Metal Industry Co., Ltd.</v>
      </c>
      <c r="S59" s="222" t="str">
        <f t="shared" ca="1" si="6"/>
        <v>JP</v>
      </c>
      <c r="T59" s="222" t="str">
        <f ca="1">IF(B59="","",IF(ISERROR(MATCH($J59,SorP!$B$1:$B$6230,0)),"",INDIRECT("'SorP'!$A$"&amp;MATCH($J59,SorP!$B$1:$B$6230,0))))</f>
        <v>JP-29</v>
      </c>
      <c r="U59" s="238"/>
      <c r="V59" s="270">
        <f>IF(C59="",NA(),MATCH($B59&amp;$C59,'Smelter Look-up'!$J:$J,0))</f>
        <v>193</v>
      </c>
      <c r="W59" s="271"/>
      <c r="X59" s="271">
        <f t="shared" si="7"/>
        <v>0</v>
      </c>
      <c r="Y59" s="271"/>
      <c r="Z59" s="271"/>
      <c r="AB59" s="273" t="str">
        <f t="shared" si="8"/>
        <v>GoldOhura Precious Metal Industry Co., Ltd.</v>
      </c>
    </row>
    <row r="60" spans="1:28" s="272" customFormat="1" ht="204">
      <c r="A60" s="215" t="s">
        <v>715</v>
      </c>
      <c r="B60" s="215" t="s">
        <v>1130</v>
      </c>
      <c r="C60" s="219" t="s">
        <v>2170</v>
      </c>
      <c r="D60" s="278" t="s">
        <v>2170</v>
      </c>
      <c r="E60" s="215" t="s">
        <v>1108</v>
      </c>
      <c r="F60" s="215" t="str">
        <f ca="1">IF(ISERROR($V60),"",OFFSET('Smelter Look-up'!$E$4,$V60-4,0))</f>
        <v>CID001259</v>
      </c>
      <c r="G60" s="215" t="str">
        <f ca="1">IF(C60=$X$4,"Enter smelter details",IF(ISERROR($V60),"",OFFSET('Smelter Look-up'!$F$4,$V60-4,0)))</f>
        <v>RMI</v>
      </c>
      <c r="H60" s="216" t="s">
        <v>15749</v>
      </c>
      <c r="I60" s="217" t="s">
        <v>1640</v>
      </c>
      <c r="J60" s="217" t="s">
        <v>1641</v>
      </c>
      <c r="K60" s="268"/>
      <c r="L60" s="268"/>
      <c r="M60" s="268"/>
      <c r="N60" s="268" t="s">
        <v>15750</v>
      </c>
      <c r="O60" s="268" t="s">
        <v>15751</v>
      </c>
      <c r="P60" s="218"/>
      <c r="Q60" s="269" t="s">
        <v>15609</v>
      </c>
      <c r="R60" s="215" t="str">
        <f ca="1">IF(ISERROR($V60),"",OFFSET('Smelter Look-up'!$C$4,$V60-4,0)&amp;"")</f>
        <v>Nihon Material Co., Ltd.</v>
      </c>
      <c r="S60" s="222" t="str">
        <f t="shared" ca="1" si="6"/>
        <v>JP</v>
      </c>
      <c r="T60" s="222" t="str">
        <f ca="1">IF(B60="","",IF(ISERROR(MATCH($J60,SorP!$B$1:$B$6230,0)),"",INDIRECT("'SorP'!$A$"&amp;MATCH($J60,SorP!$B$1:$B$6230,0))))</f>
        <v>JP-12</v>
      </c>
      <c r="U60" s="238"/>
      <c r="V60" s="270">
        <f>IF(C60="",NA(),MATCH($B60&amp;$C60,'Smelter Look-up'!$J:$J,0))</f>
        <v>188</v>
      </c>
      <c r="W60" s="271"/>
      <c r="X60" s="271">
        <f t="shared" si="7"/>
        <v>0</v>
      </c>
      <c r="Y60" s="271"/>
      <c r="Z60" s="271"/>
      <c r="AB60" s="273" t="str">
        <f t="shared" si="8"/>
        <v>GoldNihon Material Co., Ltd.</v>
      </c>
    </row>
    <row r="61" spans="1:28" s="272" customFormat="1" ht="102">
      <c r="A61" s="215" t="s">
        <v>714</v>
      </c>
      <c r="B61" s="215" t="s">
        <v>1130</v>
      </c>
      <c r="C61" s="219" t="s">
        <v>1231</v>
      </c>
      <c r="D61" s="278" t="s">
        <v>1231</v>
      </c>
      <c r="E61" s="215" t="s">
        <v>891</v>
      </c>
      <c r="F61" s="215" t="str">
        <f ca="1">IF(ISERROR($V61),"",OFFSET('Smelter Look-up'!$E$4,$V61-4,0))</f>
        <v>CID001236</v>
      </c>
      <c r="G61" s="215" t="str">
        <f ca="1">IF(C61=$X$4,"Enter smelter details",IF(ISERROR($V61),"",OFFSET('Smelter Look-up'!$F$4,$V61-4,0)))</f>
        <v>RMI</v>
      </c>
      <c r="H61" s="216" t="s">
        <v>15752</v>
      </c>
      <c r="I61" s="217" t="s">
        <v>1639</v>
      </c>
      <c r="J61" s="217" t="s">
        <v>12229</v>
      </c>
      <c r="K61" s="268"/>
      <c r="L61" s="268"/>
      <c r="M61" s="268"/>
      <c r="N61" s="268" t="s">
        <v>15612</v>
      </c>
      <c r="O61" s="268" t="s">
        <v>15753</v>
      </c>
      <c r="P61" s="218"/>
      <c r="Q61" s="269" t="s">
        <v>15609</v>
      </c>
      <c r="R61" s="215" t="str">
        <f ca="1">IF(ISERROR($V61),"",OFFSET('Smelter Look-up'!$C$4,$V61-4,0)&amp;"")</f>
        <v>Navoi Mining and Metallurgical Combinat</v>
      </c>
      <c r="S61" s="222" t="str">
        <f t="shared" ca="1" si="6"/>
        <v>UZ</v>
      </c>
      <c r="T61" s="222" t="str">
        <f ca="1">IF(B61="","",IF(ISERROR(MATCH($J61,SorP!$B$1:$B$6230,0)),"",INDIRECT("'SorP'!$A$"&amp;MATCH($J61,SorP!$B$1:$B$6230,0))))</f>
        <v>UZ-NW</v>
      </c>
      <c r="U61" s="238"/>
      <c r="V61" s="270">
        <f>IF(C61="",NA(),MATCH($B61&amp;$C61,'Smelter Look-up'!$J:$J,0))</f>
        <v>186</v>
      </c>
      <c r="W61" s="271"/>
      <c r="X61" s="271">
        <f t="shared" si="7"/>
        <v>0</v>
      </c>
      <c r="Y61" s="271"/>
      <c r="Z61" s="271"/>
      <c r="AB61" s="273" t="str">
        <f t="shared" si="8"/>
        <v>GoldNavoi Mining and Metallurgical Combinat</v>
      </c>
    </row>
    <row r="62" spans="1:28" s="272" customFormat="1" ht="76.5">
      <c r="A62" s="215" t="s">
        <v>713</v>
      </c>
      <c r="B62" s="215" t="s">
        <v>1130</v>
      </c>
      <c r="C62" s="219" t="s">
        <v>12643</v>
      </c>
      <c r="D62" s="278" t="s">
        <v>12643</v>
      </c>
      <c r="E62" s="215" t="s">
        <v>889</v>
      </c>
      <c r="F62" s="215" t="str">
        <f ca="1">IF(ISERROR($V62),"",OFFSET('Smelter Look-up'!$E$4,$V62-4,0))</f>
        <v>CID001220</v>
      </c>
      <c r="G62" s="215" t="str">
        <f ca="1">IF(C62=$X$4,"Enter smelter details",IF(ISERROR($V62),"",OFFSET('Smelter Look-up'!$F$4,$V62-4,0)))</f>
        <v>RMI</v>
      </c>
      <c r="H62" s="216" t="s">
        <v>15754</v>
      </c>
      <c r="I62" s="217" t="s">
        <v>1638</v>
      </c>
      <c r="J62" s="217" t="s">
        <v>11478</v>
      </c>
      <c r="K62" s="268"/>
      <c r="L62" s="268"/>
      <c r="M62" s="268"/>
      <c r="N62" s="268" t="s">
        <v>15755</v>
      </c>
      <c r="O62" s="268" t="s">
        <v>15756</v>
      </c>
      <c r="P62" s="218"/>
      <c r="Q62" s="269" t="s">
        <v>15609</v>
      </c>
      <c r="R62" s="215" t="str">
        <f ca="1">IF(ISERROR($V62),"",OFFSET('Smelter Look-up'!$C$4,$V62-4,0)&amp;"")</f>
        <v>Nadir Metal Rafineri San. Ve Tic. A.S.</v>
      </c>
      <c r="S62" s="222" t="str">
        <f t="shared" ca="1" si="6"/>
        <v>TR</v>
      </c>
      <c r="T62" s="222" t="str">
        <f ca="1">IF(B62="","",IF(ISERROR(MATCH($J62,SorP!$B$1:$B$6230,0)),"",INDIRECT("'SorP'!$A$"&amp;MATCH($J62,SorP!$B$1:$B$6230,0))))</f>
        <v>TR-34</v>
      </c>
      <c r="U62" s="238"/>
      <c r="V62" s="270">
        <f>IF(C62="",NA(),MATCH($B62&amp;$C62,'Smelter Look-up'!$J:$J,0))</f>
        <v>184</v>
      </c>
      <c r="W62" s="271"/>
      <c r="X62" s="271">
        <f t="shared" si="7"/>
        <v>0</v>
      </c>
      <c r="Y62" s="271"/>
      <c r="Z62" s="271"/>
      <c r="AB62" s="273" t="str">
        <f t="shared" si="8"/>
        <v>GoldNadir Metal Rafineri San. Ve Tic. A.S.</v>
      </c>
    </row>
    <row r="63" spans="1:28" s="272" customFormat="1" ht="114.75">
      <c r="A63" s="215" t="s">
        <v>712</v>
      </c>
      <c r="B63" s="215" t="s">
        <v>1130</v>
      </c>
      <c r="C63" s="219" t="s">
        <v>911</v>
      </c>
      <c r="D63" s="278" t="s">
        <v>911</v>
      </c>
      <c r="E63" s="215" t="s">
        <v>883</v>
      </c>
      <c r="F63" s="215" t="str">
        <f ca="1">IF(ISERROR($V63),"",OFFSET('Smelter Look-up'!$E$4,$V63-4,0))</f>
        <v>CID001204</v>
      </c>
      <c r="G63" s="215" t="str">
        <f ca="1">IF(C63=$X$4,"Enter smelter details",IF(ISERROR($V63),"",OFFSET('Smelter Look-up'!$F$4,$V63-4,0)))</f>
        <v>RMI</v>
      </c>
      <c r="H63" s="216" t="s">
        <v>15757</v>
      </c>
      <c r="I63" s="217" t="s">
        <v>1637</v>
      </c>
      <c r="J63" s="217" t="s">
        <v>10102</v>
      </c>
      <c r="K63" s="268"/>
      <c r="L63" s="268"/>
      <c r="M63" s="268"/>
      <c r="N63" s="268" t="s">
        <v>15666</v>
      </c>
      <c r="O63" s="268" t="s">
        <v>15758</v>
      </c>
      <c r="P63" s="218"/>
      <c r="Q63" s="269" t="s">
        <v>15609</v>
      </c>
      <c r="R63" s="215" t="str">
        <f ca="1">IF(ISERROR($V63),"",OFFSET('Smelter Look-up'!$C$4,$V63-4,0)&amp;"")</f>
        <v>Moscow Special Alloys Processing Plant</v>
      </c>
      <c r="S63" s="222" t="str">
        <f t="shared" ca="1" si="6"/>
        <v>RU</v>
      </c>
      <c r="T63" s="222" t="str">
        <f ca="1">IF(B63="","",IF(ISERROR(MATCH($J63,SorP!$B$1:$B$6230,0)),"",INDIRECT("'SorP'!$A$"&amp;MATCH($J63,SorP!$B$1:$B$6230,0))))</f>
        <v>RU-MOW</v>
      </c>
      <c r="U63" s="238"/>
      <c r="V63" s="270">
        <f>IF(C63="",NA(),MATCH($B63&amp;$C63,'Smelter Look-up'!$J:$J,0))</f>
        <v>183</v>
      </c>
      <c r="W63" s="271"/>
      <c r="X63" s="271">
        <f t="shared" si="7"/>
        <v>0</v>
      </c>
      <c r="Y63" s="271"/>
      <c r="Z63" s="271"/>
      <c r="AB63" s="273" t="str">
        <f t="shared" si="8"/>
        <v>GoldMoscow Special Alloys Processing Plant</v>
      </c>
    </row>
    <row r="64" spans="1:28" s="272" customFormat="1" ht="216.75">
      <c r="A64" s="215" t="s">
        <v>711</v>
      </c>
      <c r="B64" s="215" t="s">
        <v>1130</v>
      </c>
      <c r="C64" s="219" t="s">
        <v>1230</v>
      </c>
      <c r="D64" s="278" t="s">
        <v>1230</v>
      </c>
      <c r="E64" s="215" t="s">
        <v>1108</v>
      </c>
      <c r="F64" s="215" t="str">
        <f ca="1">IF(ISERROR($V64),"",OFFSET('Smelter Look-up'!$E$4,$V64-4,0))</f>
        <v>CID001193</v>
      </c>
      <c r="G64" s="215" t="str">
        <f ca="1">IF(C64=$X$4,"Enter smelter details",IF(ISERROR($V64),"",OFFSET('Smelter Look-up'!$F$4,$V64-4,0)))</f>
        <v>RMI</v>
      </c>
      <c r="H64" s="216" t="s">
        <v>15759</v>
      </c>
      <c r="I64" s="217" t="s">
        <v>1635</v>
      </c>
      <c r="J64" s="217" t="s">
        <v>1634</v>
      </c>
      <c r="K64" s="268"/>
      <c r="L64" s="268"/>
      <c r="M64" s="268"/>
      <c r="N64" s="268" t="s">
        <v>15760</v>
      </c>
      <c r="O64" s="268" t="s">
        <v>15761</v>
      </c>
      <c r="P64" s="218"/>
      <c r="Q64" s="269" t="s">
        <v>15609</v>
      </c>
      <c r="R64" s="215" t="str">
        <f ca="1">IF(ISERROR($V64),"",OFFSET('Smelter Look-up'!$C$4,$V64-4,0)&amp;"")</f>
        <v>Mitsui Mining and Smelting Co., Ltd.</v>
      </c>
      <c r="S64" s="222" t="str">
        <f t="shared" ca="1" si="6"/>
        <v>JP</v>
      </c>
      <c r="T64" s="222" t="str">
        <f ca="1">IF(B64="","",IF(ISERROR(MATCH($J64,SorP!$B$1:$B$6230,0)),"",INDIRECT("'SorP'!$A$"&amp;MATCH($J64,SorP!$B$1:$B$6230,0))))</f>
        <v>JP-34</v>
      </c>
      <c r="U64" s="238"/>
      <c r="V64" s="270">
        <f>IF(C64="",NA(),MATCH($B64&amp;$C64,'Smelter Look-up'!$J:$J,0))</f>
        <v>179</v>
      </c>
      <c r="W64" s="271"/>
      <c r="X64" s="271">
        <f t="shared" si="7"/>
        <v>0</v>
      </c>
      <c r="Y64" s="271"/>
      <c r="Z64" s="271"/>
      <c r="AB64" s="273" t="str">
        <f t="shared" si="8"/>
        <v>GoldMitsui Mining and Smelting Co., Ltd.</v>
      </c>
    </row>
    <row r="65" spans="1:28" s="272" customFormat="1" ht="293.25">
      <c r="A65" s="215" t="s">
        <v>710</v>
      </c>
      <c r="B65" s="215" t="s">
        <v>1130</v>
      </c>
      <c r="C65" s="219" t="s">
        <v>1164</v>
      </c>
      <c r="D65" s="278" t="s">
        <v>1164</v>
      </c>
      <c r="E65" s="215" t="s">
        <v>1108</v>
      </c>
      <c r="F65" s="215" t="str">
        <f ca="1">IF(ISERROR($V65),"",OFFSET('Smelter Look-up'!$E$4,$V65-4,0))</f>
        <v>CID001188</v>
      </c>
      <c r="G65" s="215" t="str">
        <f ca="1">IF(C65=$X$4,"Enter smelter details",IF(ISERROR($V65),"",OFFSET('Smelter Look-up'!$F$4,$V65-4,0)))</f>
        <v>RMI</v>
      </c>
      <c r="H65" s="216" t="s">
        <v>15762</v>
      </c>
      <c r="I65" s="217" t="s">
        <v>1548</v>
      </c>
      <c r="J65" s="217" t="s">
        <v>1548</v>
      </c>
      <c r="K65" s="268"/>
      <c r="L65" s="268"/>
      <c r="M65" s="268"/>
      <c r="N65" s="268" t="s">
        <v>15763</v>
      </c>
      <c r="O65" s="268" t="s">
        <v>15764</v>
      </c>
      <c r="P65" s="218"/>
      <c r="Q65" s="269" t="s">
        <v>15609</v>
      </c>
      <c r="R65" s="215" t="str">
        <f ca="1">IF(ISERROR($V65),"",OFFSET('Smelter Look-up'!$C$4,$V65-4,0)&amp;"")</f>
        <v>Mitsubishi Materials Corporation</v>
      </c>
      <c r="S65" s="222" t="str">
        <f t="shared" ca="1" si="6"/>
        <v>JP</v>
      </c>
      <c r="T65" s="222" t="str">
        <f ca="1">IF(B65="","",IF(ISERROR(MATCH($J65,SorP!$B$1:$B$6230,0)),"",INDIRECT("'SorP'!$A$"&amp;MATCH($J65,SorP!$B$1:$B$6230,0))))</f>
        <v>JP-13</v>
      </c>
      <c r="U65" s="238"/>
      <c r="V65" s="270">
        <f>IF(C65="",NA(),MATCH($B65&amp;$C65,'Smelter Look-up'!$J:$J,0))</f>
        <v>177</v>
      </c>
      <c r="W65" s="271"/>
      <c r="X65" s="271">
        <f t="shared" si="7"/>
        <v>0</v>
      </c>
      <c r="Y65" s="271"/>
      <c r="Z65" s="271"/>
      <c r="AB65" s="273" t="str">
        <f t="shared" si="8"/>
        <v>GoldMitsubishi Materials Corporation</v>
      </c>
    </row>
    <row r="66" spans="1:28" s="272" customFormat="1" ht="140.25">
      <c r="A66" s="215" t="s">
        <v>709</v>
      </c>
      <c r="B66" s="215" t="s">
        <v>1130</v>
      </c>
      <c r="C66" s="219" t="s">
        <v>12641</v>
      </c>
      <c r="D66" s="278" t="s">
        <v>12641</v>
      </c>
      <c r="E66" s="215" t="s">
        <v>1113</v>
      </c>
      <c r="F66" s="215" t="str">
        <f ca="1">IF(ISERROR($V66),"",OFFSET('Smelter Look-up'!$E$4,$V66-4,0))</f>
        <v>CID001161</v>
      </c>
      <c r="G66" s="215" t="str">
        <f ca="1">IF(C66=$X$4,"Enter smelter details",IF(ISERROR($V66),"",OFFSET('Smelter Look-up'!$F$4,$V66-4,0)))</f>
        <v>RMI</v>
      </c>
      <c r="H66" s="216" t="s">
        <v>15765</v>
      </c>
      <c r="I66" s="217" t="s">
        <v>1633</v>
      </c>
      <c r="J66" s="217" t="s">
        <v>13099</v>
      </c>
      <c r="K66" s="268"/>
      <c r="L66" s="268"/>
      <c r="M66" s="268"/>
      <c r="N66" s="268" t="s">
        <v>15766</v>
      </c>
      <c r="O66" s="268" t="s">
        <v>15767</v>
      </c>
      <c r="P66" s="218"/>
      <c r="Q66" s="269" t="s">
        <v>15609</v>
      </c>
      <c r="R66" s="215" t="str">
        <f ca="1">IF(ISERROR($V66),"",OFFSET('Smelter Look-up'!$C$4,$V66-4,0)&amp;"")</f>
        <v>Metalurgica Met-Mex Penoles S.A. De C.V.</v>
      </c>
      <c r="S66" s="222" t="str">
        <f t="shared" ca="1" si="6"/>
        <v>MX</v>
      </c>
      <c r="T66" s="222" t="str">
        <f ca="1">IF(B66="","",IF(ISERROR(MATCH($J66,SorP!$B$1:$B$6230,0)),"",INDIRECT("'SorP'!$A$"&amp;MATCH($J66,SorP!$B$1:$B$6230,0))))</f>
        <v>MX-COA</v>
      </c>
      <c r="U66" s="238"/>
      <c r="V66" s="270">
        <f>IF(C66="",NA(),MATCH($B66&amp;$C66,'Smelter Look-up'!$J:$J,0))</f>
        <v>173</v>
      </c>
      <c r="W66" s="271"/>
      <c r="X66" s="271">
        <f t="shared" si="7"/>
        <v>0</v>
      </c>
      <c r="Y66" s="271"/>
      <c r="Z66" s="271"/>
      <c r="AB66" s="273" t="str">
        <f t="shared" si="8"/>
        <v>GoldMetalurgica Met-Mex Penoles S.A. De C.V.</v>
      </c>
    </row>
    <row r="67" spans="1:28" s="272" customFormat="1" ht="153">
      <c r="A67" s="215" t="s">
        <v>708</v>
      </c>
      <c r="B67" s="215" t="s">
        <v>1130</v>
      </c>
      <c r="C67" s="219" t="s">
        <v>1229</v>
      </c>
      <c r="D67" s="278" t="s">
        <v>1229</v>
      </c>
      <c r="E67" s="215" t="s">
        <v>2463</v>
      </c>
      <c r="F67" s="215" t="str">
        <f ca="1">IF(ISERROR($V67),"",OFFSET('Smelter Look-up'!$E$4,$V67-4,0))</f>
        <v>CID001157</v>
      </c>
      <c r="G67" s="215" t="str">
        <f ca="1">IF(C67=$X$4,"Enter smelter details",IF(ISERROR($V67),"",OFFSET('Smelter Look-up'!$F$4,$V67-4,0)))</f>
        <v>RMI</v>
      </c>
      <c r="H67" s="216" t="s">
        <v>15768</v>
      </c>
      <c r="I67" s="217" t="s">
        <v>1631</v>
      </c>
      <c r="J67" s="217" t="s">
        <v>1632</v>
      </c>
      <c r="K67" s="268"/>
      <c r="L67" s="268"/>
      <c r="M67" s="268"/>
      <c r="N67" s="268" t="s">
        <v>15769</v>
      </c>
      <c r="O67" s="268" t="s">
        <v>15770</v>
      </c>
      <c r="P67" s="218"/>
      <c r="Q67" s="269" t="s">
        <v>15609</v>
      </c>
      <c r="R67" s="215" t="str">
        <f ca="1">IF(ISERROR($V67),"",OFFSET('Smelter Look-up'!$C$4,$V67-4,0)&amp;"")</f>
        <v>Metalor USA Refining Corporation</v>
      </c>
      <c r="S67" s="222" t="str">
        <f t="shared" ca="1" si="6"/>
        <v>US</v>
      </c>
      <c r="T67" s="222" t="str">
        <f ca="1">IF(B67="","",IF(ISERROR(MATCH($J67,SorP!$B$1:$B$6230,0)),"",INDIRECT("'SorP'!$A$"&amp;MATCH($J67,SorP!$B$1:$B$6230,0))))</f>
        <v>US-MA</v>
      </c>
      <c r="U67" s="238"/>
      <c r="V67" s="270">
        <f>IF(C67="",NA(),MATCH($B67&amp;$C67,'Smelter Look-up'!$J:$J,0))</f>
        <v>172</v>
      </c>
      <c r="W67" s="271"/>
      <c r="X67" s="271">
        <f t="shared" si="7"/>
        <v>0</v>
      </c>
      <c r="Y67" s="271"/>
      <c r="Z67" s="271"/>
      <c r="AB67" s="273" t="str">
        <f t="shared" si="8"/>
        <v>GoldMetalor USA Refining Corporation</v>
      </c>
    </row>
    <row r="68" spans="1:28" s="272" customFormat="1" ht="229.5">
      <c r="A68" s="215" t="s">
        <v>707</v>
      </c>
      <c r="B68" s="215" t="s">
        <v>1130</v>
      </c>
      <c r="C68" s="219" t="s">
        <v>2331</v>
      </c>
      <c r="D68" s="278" t="s">
        <v>2331</v>
      </c>
      <c r="E68" s="215" t="s">
        <v>1098</v>
      </c>
      <c r="F68" s="215" t="str">
        <f ca="1">IF(ISERROR($V68),"",OFFSET('Smelter Look-up'!$E$4,$V68-4,0))</f>
        <v>CID001153</v>
      </c>
      <c r="G68" s="215" t="str">
        <f ca="1">IF(C68=$X$4,"Enter smelter details",IF(ISERROR($V68),"",OFFSET('Smelter Look-up'!$F$4,$V68-4,0)))</f>
        <v>RMI</v>
      </c>
      <c r="H68" s="216" t="s">
        <v>15771</v>
      </c>
      <c r="I68" s="217" t="s">
        <v>1629</v>
      </c>
      <c r="J68" s="217" t="s">
        <v>1630</v>
      </c>
      <c r="K68" s="268"/>
      <c r="L68" s="268"/>
      <c r="M68" s="268"/>
      <c r="N68" s="268" t="s">
        <v>15772</v>
      </c>
      <c r="O68" s="268" t="s">
        <v>15773</v>
      </c>
      <c r="P68" s="218"/>
      <c r="Q68" s="269" t="s">
        <v>15609</v>
      </c>
      <c r="R68" s="215" t="str">
        <f ca="1">IF(ISERROR($V68),"",OFFSET('Smelter Look-up'!$C$4,$V68-4,0)&amp;"")</f>
        <v>Metalor Technologies S.A.</v>
      </c>
      <c r="S68" s="222" t="str">
        <f t="shared" ca="1" si="6"/>
        <v>CH</v>
      </c>
      <c r="T68" s="222" t="str">
        <f ca="1">IF(B68="","",IF(ISERROR(MATCH($J68,SorP!$B$1:$B$6230,0)),"",INDIRECT("'SorP'!$A$"&amp;MATCH($J68,SorP!$B$1:$B$6230,0))))</f>
        <v>CH-NE</v>
      </c>
      <c r="U68" s="238"/>
      <c r="V68" s="270">
        <f>IF(C68="",NA(),MATCH($B68&amp;$C68,'Smelter Look-up'!$J:$J,0))</f>
        <v>171</v>
      </c>
      <c r="W68" s="271"/>
      <c r="X68" s="271">
        <f t="shared" si="7"/>
        <v>0</v>
      </c>
      <c r="Y68" s="271"/>
      <c r="Z68" s="271"/>
      <c r="AB68" s="273" t="str">
        <f t="shared" si="8"/>
        <v>GoldMetalor Technologies S.A.</v>
      </c>
    </row>
    <row r="69" spans="1:28" s="272" customFormat="1" ht="127.5">
      <c r="A69" s="215" t="s">
        <v>706</v>
      </c>
      <c r="B69" s="215" t="s">
        <v>1130</v>
      </c>
      <c r="C69" s="219" t="s">
        <v>2167</v>
      </c>
      <c r="D69" s="278" t="s">
        <v>2167</v>
      </c>
      <c r="E69" s="215" t="s">
        <v>886</v>
      </c>
      <c r="F69" s="215" t="str">
        <f ca="1">IF(ISERROR($V69),"",OFFSET('Smelter Look-up'!$E$4,$V69-4,0))</f>
        <v>CID001152</v>
      </c>
      <c r="G69" s="215" t="str">
        <f ca="1">IF(C69=$X$4,"Enter smelter details",IF(ISERROR($V69),"",OFFSET('Smelter Look-up'!$F$4,$V69-4,0)))</f>
        <v>RMI</v>
      </c>
      <c r="H69" s="216" t="s">
        <v>15774</v>
      </c>
      <c r="I69" s="217" t="s">
        <v>12936</v>
      </c>
      <c r="J69" s="217" t="s">
        <v>10505</v>
      </c>
      <c r="K69" s="268"/>
      <c r="L69" s="268"/>
      <c r="M69" s="268"/>
      <c r="N69" s="268" t="s">
        <v>15775</v>
      </c>
      <c r="O69" s="268" t="s">
        <v>15776</v>
      </c>
      <c r="P69" s="218"/>
      <c r="Q69" s="269" t="s">
        <v>15609</v>
      </c>
      <c r="R69" s="215" t="str">
        <f ca="1">IF(ISERROR($V69),"",OFFSET('Smelter Look-up'!$C$4,$V69-4,0)&amp;"")</f>
        <v>Metalor Technologies (Singapore) Pte., Ltd.</v>
      </c>
      <c r="S69" s="222" t="str">
        <f t="shared" ref="S69" ca="1" si="9">IF(B69="","",IF(ISERROR(MATCH($E69,CL,0)),"Unknown",INDIRECT("'C'!$A$"&amp;MATCH($E69,CL,0)+1)))</f>
        <v>SG</v>
      </c>
      <c r="T69" s="222" t="str">
        <f ca="1">IF(B69="","",IF(ISERROR(MATCH($J69,SorP!$B$1:$B$6230,0)),"",INDIRECT("'SorP'!$A$"&amp;MATCH($J69,SorP!$B$1:$B$6230,0))))</f>
        <v>SG-05</v>
      </c>
      <c r="U69" s="238"/>
      <c r="V69" s="270">
        <f>IF(C69="",NA(),MATCH($B69&amp;$C69,'Smelter Look-up'!$J:$J,0))</f>
        <v>169</v>
      </c>
      <c r="W69" s="271"/>
      <c r="X69" s="271">
        <f t="shared" ref="X69" si="10">IF(AND(C69="Smelter not listed",OR(LEN(D69)=0,LEN(E69)=0)),1,0)</f>
        <v>0</v>
      </c>
      <c r="Y69" s="271"/>
      <c r="Z69" s="271"/>
      <c r="AB69" s="273" t="str">
        <f t="shared" ref="AB69" si="11">B69&amp;C69</f>
        <v>GoldMetalor Technologies (Singapore) Pte., Ltd.</v>
      </c>
    </row>
    <row r="70" spans="1:28" s="272" customFormat="1" ht="114.75">
      <c r="A70" s="215" t="s">
        <v>705</v>
      </c>
      <c r="B70" s="215" t="s">
        <v>1130</v>
      </c>
      <c r="C70" s="219" t="s">
        <v>2166</v>
      </c>
      <c r="D70" s="278" t="s">
        <v>2166</v>
      </c>
      <c r="E70" s="215" t="s">
        <v>1100</v>
      </c>
      <c r="F70" s="215" t="str">
        <f ca="1">IF(ISERROR($V70),"",OFFSET('Smelter Look-up'!$E$4,$V70-4,0))</f>
        <v>CID001149</v>
      </c>
      <c r="G70" s="215" t="str">
        <f ca="1">IF(C70=$X$4,"Enter smelter details",IF(ISERROR($V70),"",OFFSET('Smelter Look-up'!$F$4,$V70-4,0)))</f>
        <v>RMI</v>
      </c>
      <c r="H70" s="216" t="s">
        <v>15777</v>
      </c>
      <c r="I70" s="217" t="s">
        <v>1628</v>
      </c>
      <c r="J70" s="217" t="s">
        <v>14067</v>
      </c>
      <c r="K70" s="268"/>
      <c r="L70" s="268"/>
      <c r="M70" s="268"/>
      <c r="N70" s="268" t="s">
        <v>15778</v>
      </c>
      <c r="O70" s="268" t="s">
        <v>15779</v>
      </c>
      <c r="P70" s="218"/>
      <c r="Q70" s="269" t="s">
        <v>15609</v>
      </c>
      <c r="R70" s="215" t="str">
        <f ca="1">IF(ISERROR($V70),"",OFFSET('Smelter Look-up'!$C$4,$V70-4,0)&amp;"")</f>
        <v>Metalor Technologies (Hong Kong) Ltd.</v>
      </c>
      <c r="S70" s="222" t="str">
        <f t="shared" ref="S70:S101" ca="1" si="12">IF(B70="","",IF(ISERROR(MATCH($E70,CL,0)),"Unknown",INDIRECT("'C'!$A$"&amp;MATCH($E70,CL,0)+1)))</f>
        <v>CN</v>
      </c>
      <c r="T70" s="222" t="str">
        <f ca="1">IF(B70="","",IF(ISERROR(MATCH($J70,SorP!$B$1:$B$6230,0)),"",INDIRECT("'SorP'!$A$"&amp;MATCH($J70,SorP!$B$1:$B$6230,0))))</f>
        <v>CN-HK</v>
      </c>
      <c r="U70" s="238"/>
      <c r="V70" s="270">
        <f>IF(C70="",NA(),MATCH($B70&amp;$C70,'Smelter Look-up'!$J:$J,0))</f>
        <v>168</v>
      </c>
      <c r="W70" s="271"/>
      <c r="X70" s="271">
        <f t="shared" ref="X70:X101" si="13">IF(AND(C70="Smelter not listed",OR(LEN(D70)=0,LEN(E70)=0)),1,0)</f>
        <v>0</v>
      </c>
      <c r="Y70" s="271"/>
      <c r="Z70" s="271"/>
      <c r="AB70" s="273" t="str">
        <f t="shared" ref="AB70:AB101" si="14">B70&amp;C70</f>
        <v>GoldMetalor Technologies (Hong Kong) Ltd.</v>
      </c>
    </row>
    <row r="71" spans="1:28" s="272" customFormat="1" ht="153">
      <c r="A71" s="215" t="s">
        <v>1627</v>
      </c>
      <c r="B71" s="215" t="s">
        <v>1130</v>
      </c>
      <c r="C71" s="219" t="s">
        <v>1626</v>
      </c>
      <c r="D71" s="278" t="s">
        <v>1626</v>
      </c>
      <c r="E71" s="215" t="s">
        <v>1100</v>
      </c>
      <c r="F71" s="215" t="str">
        <f ca="1">IF(ISERROR($V71),"",OFFSET('Smelter Look-up'!$E$4,$V71-4,0))</f>
        <v>CID001147</v>
      </c>
      <c r="G71" s="215" t="str">
        <f ca="1">IF(C71=$X$4,"Enter smelter details",IF(ISERROR($V71),"",OFFSET('Smelter Look-up'!$F$4,$V71-4,0)))</f>
        <v>RMI</v>
      </c>
      <c r="H71" s="216" t="s">
        <v>15780</v>
      </c>
      <c r="I71" s="217" t="s">
        <v>15781</v>
      </c>
      <c r="J71" s="217" t="s">
        <v>13855</v>
      </c>
      <c r="K71" s="268"/>
      <c r="L71" s="268"/>
      <c r="M71" s="268"/>
      <c r="N71" s="268" t="s">
        <v>15782</v>
      </c>
      <c r="O71" s="268" t="s">
        <v>15783</v>
      </c>
      <c r="P71" s="218"/>
      <c r="Q71" s="269" t="s">
        <v>15609</v>
      </c>
      <c r="R71" s="215" t="str">
        <f ca="1">IF(ISERROR($V71),"",OFFSET('Smelter Look-up'!$C$4,$V71-4,0)&amp;"")</f>
        <v>Metalor Technologies (Suzhou) Ltd.</v>
      </c>
      <c r="S71" s="222" t="str">
        <f t="shared" ca="1" si="12"/>
        <v>CN</v>
      </c>
      <c r="T71" s="222" t="str">
        <f ca="1">IF(B71="","",IF(ISERROR(MATCH($J71,SorP!$B$1:$B$6230,0)),"",INDIRECT("'SorP'!$A$"&amp;MATCH($J71,SorP!$B$1:$B$6230,0))))</f>
        <v>CN-JS</v>
      </c>
      <c r="U71" s="238"/>
      <c r="V71" s="270">
        <f>IF(C71="",NA(),MATCH($B71&amp;$C71,'Smelter Look-up'!$J:$J,0))</f>
        <v>170</v>
      </c>
      <c r="W71" s="271"/>
      <c r="X71" s="271">
        <f t="shared" si="13"/>
        <v>0</v>
      </c>
      <c r="Y71" s="271"/>
      <c r="Z71" s="271"/>
      <c r="AB71" s="273" t="str">
        <f t="shared" si="14"/>
        <v>GoldMetalor Technologies (Suzhou) Ltd.</v>
      </c>
    </row>
    <row r="72" spans="1:28" s="272" customFormat="1" ht="318.75">
      <c r="A72" s="215" t="s">
        <v>704</v>
      </c>
      <c r="B72" s="215" t="s">
        <v>1130</v>
      </c>
      <c r="C72" s="219" t="s">
        <v>57</v>
      </c>
      <c r="D72" s="278" t="s">
        <v>57</v>
      </c>
      <c r="E72" s="215" t="s">
        <v>1108</v>
      </c>
      <c r="F72" s="215" t="str">
        <f ca="1">IF(ISERROR($V72),"",OFFSET('Smelter Look-up'!$E$4,$V72-4,0))</f>
        <v>CID001119</v>
      </c>
      <c r="G72" s="215" t="str">
        <f ca="1">IF(C72=$X$4,"Enter smelter details",IF(ISERROR($V72),"",OFFSET('Smelter Look-up'!$F$4,$V72-4,0)))</f>
        <v>RMI</v>
      </c>
      <c r="H72" s="216" t="s">
        <v>15784</v>
      </c>
      <c r="I72" s="217" t="s">
        <v>1625</v>
      </c>
      <c r="J72" s="217" t="s">
        <v>1587</v>
      </c>
      <c r="K72" s="268"/>
      <c r="L72" s="268"/>
      <c r="M72" s="268"/>
      <c r="N72" s="268" t="s">
        <v>15785</v>
      </c>
      <c r="O72" s="268" t="s">
        <v>15786</v>
      </c>
      <c r="P72" s="218"/>
      <c r="Q72" s="269" t="s">
        <v>15609</v>
      </c>
      <c r="R72" s="215" t="str">
        <f ca="1">IF(ISERROR($V72),"",OFFSET('Smelter Look-up'!$C$4,$V72-4,0)&amp;"")</f>
        <v>Matsuda Sangyo Co., Ltd.</v>
      </c>
      <c r="S72" s="222" t="str">
        <f t="shared" ca="1" si="12"/>
        <v>JP</v>
      </c>
      <c r="T72" s="222" t="str">
        <f ca="1">IF(B72="","",IF(ISERROR(MATCH($J72,SorP!$B$1:$B$6230,0)),"",INDIRECT("'SorP'!$A$"&amp;MATCH($J72,SorP!$B$1:$B$6230,0))))</f>
        <v>JP-11</v>
      </c>
      <c r="U72" s="238"/>
      <c r="V72" s="270">
        <f>IF(C72="",NA(),MATCH($B72&amp;$C72,'Smelter Look-up'!$J:$J,0))</f>
        <v>160</v>
      </c>
      <c r="W72" s="271"/>
      <c r="X72" s="271">
        <f t="shared" si="13"/>
        <v>0</v>
      </c>
      <c r="Y72" s="271"/>
      <c r="Z72" s="271"/>
      <c r="AB72" s="273" t="str">
        <f t="shared" si="14"/>
        <v>GoldMatsuda Sangyo Co., Ltd.</v>
      </c>
    </row>
    <row r="73" spans="1:28" s="272" customFormat="1" ht="178.5">
      <c r="A73" s="215" t="s">
        <v>703</v>
      </c>
      <c r="B73" s="215" t="s">
        <v>1130</v>
      </c>
      <c r="C73" s="219" t="s">
        <v>910</v>
      </c>
      <c r="D73" s="278" t="s">
        <v>910</v>
      </c>
      <c r="E73" s="215" t="s">
        <v>2463</v>
      </c>
      <c r="F73" s="215" t="str">
        <f ca="1">IF(ISERROR($V73),"",OFFSET('Smelter Look-up'!$E$4,$V73-4,0))</f>
        <v>CID001113</v>
      </c>
      <c r="G73" s="215" t="str">
        <f ca="1">IF(C73=$X$4,"Enter smelter details",IF(ISERROR($V73),"",OFFSET('Smelter Look-up'!$F$4,$V73-4,0)))</f>
        <v>RMI</v>
      </c>
      <c r="H73" s="216" t="s">
        <v>15787</v>
      </c>
      <c r="I73" s="217" t="s">
        <v>1623</v>
      </c>
      <c r="J73" s="217" t="s">
        <v>1624</v>
      </c>
      <c r="K73" s="268"/>
      <c r="L73" s="268"/>
      <c r="M73" s="268"/>
      <c r="N73" s="268" t="s">
        <v>15788</v>
      </c>
      <c r="O73" s="268" t="s">
        <v>15789</v>
      </c>
      <c r="P73" s="218"/>
      <c r="Q73" s="269" t="s">
        <v>15609</v>
      </c>
      <c r="R73" s="215" t="str">
        <f ca="1">IF(ISERROR($V73),"",OFFSET('Smelter Look-up'!$C$4,$V73-4,0)&amp;"")</f>
        <v>Materion</v>
      </c>
      <c r="S73" s="222" t="str">
        <f t="shared" ca="1" si="12"/>
        <v>US</v>
      </c>
      <c r="T73" s="222" t="str">
        <f ca="1">IF(B73="","",IF(ISERROR(MATCH($J73,SorP!$B$1:$B$6230,0)),"",INDIRECT("'SorP'!$A$"&amp;MATCH($J73,SorP!$B$1:$B$6230,0))))</f>
        <v>US-NY</v>
      </c>
      <c r="U73" s="238"/>
      <c r="V73" s="270">
        <f>IF(C73="",NA(),MATCH($B73&amp;$C73,'Smelter Look-up'!$J:$J,0))</f>
        <v>159</v>
      </c>
      <c r="W73" s="271"/>
      <c r="X73" s="271">
        <f t="shared" si="13"/>
        <v>0</v>
      </c>
      <c r="Y73" s="271"/>
      <c r="Z73" s="271"/>
      <c r="AB73" s="273" t="str">
        <f t="shared" si="14"/>
        <v>GoldMaterion</v>
      </c>
    </row>
    <row r="74" spans="1:28" s="272" customFormat="1" ht="178.5">
      <c r="A74" s="215" t="s">
        <v>700</v>
      </c>
      <c r="B74" s="215" t="s">
        <v>1130</v>
      </c>
      <c r="C74" s="219" t="s">
        <v>56</v>
      </c>
      <c r="D74" s="278" t="s">
        <v>56</v>
      </c>
      <c r="E74" s="215" t="s">
        <v>1111</v>
      </c>
      <c r="F74" s="215" t="str">
        <f ca="1">IF(ISERROR($V74),"",OFFSET('Smelter Look-up'!$E$4,$V74-4,0))</f>
        <v>CID001078</v>
      </c>
      <c r="G74" s="215" t="str">
        <f ca="1">IF(C74=$X$4,"Enter smelter details",IF(ISERROR($V74),"",OFFSET('Smelter Look-up'!$F$4,$V74-4,0)))</f>
        <v>RMI</v>
      </c>
      <c r="H74" s="216" t="s">
        <v>15790</v>
      </c>
      <c r="I74" s="217" t="s">
        <v>1620</v>
      </c>
      <c r="J74" s="217" t="s">
        <v>13081</v>
      </c>
      <c r="K74" s="268"/>
      <c r="L74" s="268"/>
      <c r="M74" s="268"/>
      <c r="N74" s="268" t="s">
        <v>15791</v>
      </c>
      <c r="O74" s="268" t="s">
        <v>15792</v>
      </c>
      <c r="P74" s="218"/>
      <c r="Q74" s="269" t="s">
        <v>15609</v>
      </c>
      <c r="R74" s="215" t="str">
        <f ca="1">IF(ISERROR($V74),"",OFFSET('Smelter Look-up'!$C$4,$V74-4,0)&amp;"")</f>
        <v>LS-NIKKO Copper Inc.</v>
      </c>
      <c r="S74" s="222" t="str">
        <f t="shared" ca="1" si="12"/>
        <v>KR</v>
      </c>
      <c r="T74" s="222" t="str">
        <f ca="1">IF(B74="","",IF(ISERROR(MATCH($J74,SorP!$B$1:$B$6230,0)),"",INDIRECT("'SorP'!$A$"&amp;MATCH($J74,SorP!$B$1:$B$6230,0))))</f>
        <v>KR-31</v>
      </c>
      <c r="U74" s="238"/>
      <c r="V74" s="270">
        <f>IF(C74="",NA(),MATCH($B74&amp;$C74,'Smelter Look-up'!$J:$J,0))</f>
        <v>153</v>
      </c>
      <c r="W74" s="271"/>
      <c r="X74" s="271">
        <f t="shared" si="13"/>
        <v>0</v>
      </c>
      <c r="Y74" s="271"/>
      <c r="Z74" s="271"/>
      <c r="AB74" s="273" t="str">
        <f t="shared" si="14"/>
        <v>GoldLS-NIKKO Copper Inc.</v>
      </c>
    </row>
    <row r="75" spans="1:28" s="272" customFormat="1" ht="89.25">
      <c r="A75" s="215" t="s">
        <v>697</v>
      </c>
      <c r="B75" s="215" t="s">
        <v>1130</v>
      </c>
      <c r="C75" s="219" t="s">
        <v>846</v>
      </c>
      <c r="D75" s="278" t="s">
        <v>846</v>
      </c>
      <c r="E75" s="215" t="s">
        <v>1110</v>
      </c>
      <c r="F75" s="215" t="str">
        <f ca="1">IF(ISERROR($V75),"",OFFSET('Smelter Look-up'!$E$4,$V75-4,0))</f>
        <v>CID001029</v>
      </c>
      <c r="G75" s="215" t="str">
        <f ca="1">IF(C75=$X$4,"Enter smelter details",IF(ISERROR($V75),"",OFFSET('Smelter Look-up'!$F$4,$V75-4,0)))</f>
        <v>RMI</v>
      </c>
      <c r="H75" s="216" t="s">
        <v>15793</v>
      </c>
      <c r="I75" s="217" t="s">
        <v>1617</v>
      </c>
      <c r="J75" s="217" t="s">
        <v>13074</v>
      </c>
      <c r="K75" s="268"/>
      <c r="L75" s="268"/>
      <c r="M75" s="268"/>
      <c r="N75" s="268" t="s">
        <v>15794</v>
      </c>
      <c r="O75" s="268" t="s">
        <v>15795</v>
      </c>
      <c r="P75" s="218"/>
      <c r="Q75" s="269" t="s">
        <v>15609</v>
      </c>
      <c r="R75" s="215" t="str">
        <f ca="1">IF(ISERROR($V75),"",OFFSET('Smelter Look-up'!$C$4,$V75-4,0)&amp;"")</f>
        <v>Kyrgyzaltyn JSC</v>
      </c>
      <c r="S75" s="222" t="str">
        <f t="shared" ca="1" si="12"/>
        <v>KG</v>
      </c>
      <c r="T75" s="222" t="str">
        <f ca="1">IF(B75="","",IF(ISERROR(MATCH($J75,SorP!$B$1:$B$6230,0)),"",INDIRECT("'SorP'!$A$"&amp;MATCH($J75,SorP!$B$1:$B$6230,0))))</f>
        <v>KG-C</v>
      </c>
      <c r="U75" s="238"/>
      <c r="V75" s="270">
        <f>IF(C75="",NA(),MATCH($B75&amp;$C75,'Smelter Look-up'!$J:$J,0))</f>
        <v>144</v>
      </c>
      <c r="W75" s="271"/>
      <c r="X75" s="271">
        <f t="shared" si="13"/>
        <v>0</v>
      </c>
      <c r="Y75" s="271"/>
      <c r="Z75" s="271"/>
      <c r="AB75" s="273" t="str">
        <f t="shared" si="14"/>
        <v>GoldKyrgyzaltyn JSC</v>
      </c>
    </row>
    <row r="76" spans="1:28" s="272" customFormat="1" ht="242.25">
      <c r="A76" s="215" t="s">
        <v>696</v>
      </c>
      <c r="B76" s="215" t="s">
        <v>1130</v>
      </c>
      <c r="C76" s="219" t="s">
        <v>2163</v>
      </c>
      <c r="D76" s="278" t="s">
        <v>2163</v>
      </c>
      <c r="E76" s="215" t="s">
        <v>1108</v>
      </c>
      <c r="F76" s="215" t="str">
        <f ca="1">IF(ISERROR($V76),"",OFFSET('Smelter Look-up'!$E$4,$V76-4,0))</f>
        <v>CID000981</v>
      </c>
      <c r="G76" s="215" t="str">
        <f ca="1">IF(C76=$X$4,"Enter smelter details",IF(ISERROR($V76),"",OFFSET('Smelter Look-up'!$F$4,$V76-4,0)))</f>
        <v>RMI</v>
      </c>
      <c r="H76" s="216" t="s">
        <v>15796</v>
      </c>
      <c r="I76" s="217" t="s">
        <v>1615</v>
      </c>
      <c r="J76" s="217" t="s">
        <v>1587</v>
      </c>
      <c r="K76" s="268"/>
      <c r="L76" s="268"/>
      <c r="M76" s="268"/>
      <c r="N76" s="268" t="s">
        <v>15797</v>
      </c>
      <c r="O76" s="268" t="s">
        <v>15798</v>
      </c>
      <c r="P76" s="218"/>
      <c r="Q76" s="269" t="s">
        <v>15609</v>
      </c>
      <c r="R76" s="215" t="str">
        <f ca="1">IF(ISERROR($V76),"",OFFSET('Smelter Look-up'!$C$4,$V76-4,0)&amp;"")</f>
        <v>Kojima Chemicals Co., Ltd.</v>
      </c>
      <c r="S76" s="222" t="str">
        <f t="shared" ca="1" si="12"/>
        <v>JP</v>
      </c>
      <c r="T76" s="222" t="str">
        <f ca="1">IF(B76="","",IF(ISERROR(MATCH($J76,SorP!$B$1:$B$6230,0)),"",INDIRECT("'SorP'!$A$"&amp;MATCH($J76,SorP!$B$1:$B$6230,0))))</f>
        <v>JP-11</v>
      </c>
      <c r="U76" s="238"/>
      <c r="V76" s="270">
        <f>IF(C76="",NA(),MATCH($B76&amp;$C76,'Smelter Look-up'!$J:$J,0))</f>
        <v>137</v>
      </c>
      <c r="W76" s="271"/>
      <c r="X76" s="271">
        <f t="shared" si="13"/>
        <v>0</v>
      </c>
      <c r="Y76" s="271"/>
      <c r="Z76" s="271"/>
      <c r="AB76" s="273" t="str">
        <f t="shared" si="14"/>
        <v>GoldKojima Chemicals Co., Ltd.</v>
      </c>
    </row>
    <row r="77" spans="1:28" s="272" customFormat="1" ht="191.25">
      <c r="A77" s="215" t="s">
        <v>695</v>
      </c>
      <c r="B77" s="215" t="s">
        <v>1130</v>
      </c>
      <c r="C77" s="219" t="s">
        <v>694</v>
      </c>
      <c r="D77" s="278" t="s">
        <v>694</v>
      </c>
      <c r="E77" s="215" t="s">
        <v>2463</v>
      </c>
      <c r="F77" s="215" t="str">
        <f ca="1">IF(ISERROR($V77),"",OFFSET('Smelter Look-up'!$E$4,$V77-4,0))</f>
        <v>CID000969</v>
      </c>
      <c r="G77" s="215" t="str">
        <f ca="1">IF(C77=$X$4,"Enter smelter details",IF(ISERROR($V77),"",OFFSET('Smelter Look-up'!$F$4,$V77-4,0)))</f>
        <v>RMI</v>
      </c>
      <c r="H77" s="216" t="s">
        <v>15799</v>
      </c>
      <c r="I77" s="217" t="s">
        <v>1614</v>
      </c>
      <c r="J77" s="217" t="s">
        <v>1607</v>
      </c>
      <c r="K77" s="268"/>
      <c r="L77" s="268"/>
      <c r="M77" s="268"/>
      <c r="N77" s="268" t="s">
        <v>15625</v>
      </c>
      <c r="O77" s="268" t="s">
        <v>15800</v>
      </c>
      <c r="P77" s="218"/>
      <c r="Q77" s="269" t="s">
        <v>15609</v>
      </c>
      <c r="R77" s="215" t="str">
        <f ca="1">IF(ISERROR($V77),"",OFFSET('Smelter Look-up'!$C$4,$V77-4,0)&amp;"")</f>
        <v>Kennecott Utah Copper LLC</v>
      </c>
      <c r="S77" s="222" t="str">
        <f t="shared" ca="1" si="12"/>
        <v>US</v>
      </c>
      <c r="T77" s="222" t="str">
        <f ca="1">IF(B77="","",IF(ISERROR(MATCH($J77,SorP!$B$1:$B$6230,0)),"",INDIRECT("'SorP'!$A$"&amp;MATCH($J77,SorP!$B$1:$B$6230,0))))</f>
        <v>US-UT</v>
      </c>
      <c r="U77" s="238"/>
      <c r="V77" s="270">
        <f>IF(C77="",NA(),MATCH($B77&amp;$C77,'Smelter Look-up'!$J:$J,0))</f>
        <v>133</v>
      </c>
      <c r="W77" s="271"/>
      <c r="X77" s="271">
        <f t="shared" si="13"/>
        <v>0</v>
      </c>
      <c r="Y77" s="271"/>
      <c r="Z77" s="271"/>
      <c r="AB77" s="273" t="str">
        <f t="shared" si="14"/>
        <v>GoldKennecott Utah Copper LLC</v>
      </c>
    </row>
    <row r="78" spans="1:28" s="272" customFormat="1" ht="114.75">
      <c r="A78" s="215" t="s">
        <v>693</v>
      </c>
      <c r="B78" s="215" t="s">
        <v>1130</v>
      </c>
      <c r="C78" s="219" t="s">
        <v>1612</v>
      </c>
      <c r="D78" s="278" t="s">
        <v>1612</v>
      </c>
      <c r="E78" s="215" t="s">
        <v>1109</v>
      </c>
      <c r="F78" s="215" t="str">
        <f ca="1">IF(ISERROR($V78),"",OFFSET('Smelter Look-up'!$E$4,$V78-4,0))</f>
        <v>CID000957</v>
      </c>
      <c r="G78" s="215" t="str">
        <f ca="1">IF(C78=$X$4,"Enter smelter details",IF(ISERROR($V78),"",OFFSET('Smelter Look-up'!$F$4,$V78-4,0)))</f>
        <v>RMI</v>
      </c>
      <c r="H78" s="216" t="s">
        <v>15801</v>
      </c>
      <c r="I78" s="217" t="s">
        <v>1613</v>
      </c>
      <c r="J78" s="217" t="s">
        <v>7164</v>
      </c>
      <c r="K78" s="268"/>
      <c r="L78" s="268"/>
      <c r="M78" s="268"/>
      <c r="N78" s="268" t="s">
        <v>15716</v>
      </c>
      <c r="O78" s="268" t="s">
        <v>15802</v>
      </c>
      <c r="P78" s="218"/>
      <c r="Q78" s="269" t="s">
        <v>15609</v>
      </c>
      <c r="R78" s="215" t="str">
        <f ca="1">IF(ISERROR($V78),"",OFFSET('Smelter Look-up'!$C$4,$V78-4,0)&amp;"")</f>
        <v>Kazzinc</v>
      </c>
      <c r="S78" s="222" t="str">
        <f t="shared" ca="1" si="12"/>
        <v>KZ</v>
      </c>
      <c r="T78" s="222" t="str">
        <f ca="1">IF(B78="","",IF(ISERROR(MATCH($J78,SorP!$B$1:$B$6230,0)),"",INDIRECT("'SorP'!$A$"&amp;MATCH($J78,SorP!$B$1:$B$6230,0))))</f>
        <v>KZ-KAR</v>
      </c>
      <c r="U78" s="238"/>
      <c r="V78" s="270">
        <f>IF(C78="",NA(),MATCH($B78&amp;$C78,'Smelter Look-up'!$J:$J,0))</f>
        <v>132</v>
      </c>
      <c r="W78" s="271"/>
      <c r="X78" s="271">
        <f t="shared" si="13"/>
        <v>0</v>
      </c>
      <c r="Y78" s="271"/>
      <c r="Z78" s="271"/>
      <c r="AB78" s="273" t="str">
        <f t="shared" si="14"/>
        <v>GoldKazzinc</v>
      </c>
    </row>
    <row r="79" spans="1:28" s="272" customFormat="1" ht="293.25">
      <c r="A79" s="215" t="s">
        <v>692</v>
      </c>
      <c r="B79" s="215" t="s">
        <v>1130</v>
      </c>
      <c r="C79" s="219" t="s">
        <v>55</v>
      </c>
      <c r="D79" s="278" t="s">
        <v>55</v>
      </c>
      <c r="E79" s="215" t="s">
        <v>1108</v>
      </c>
      <c r="F79" s="215" t="str">
        <f ca="1">IF(ISERROR($V79),"",OFFSET('Smelter Look-up'!$E$4,$V79-4,0))</f>
        <v>CID000937</v>
      </c>
      <c r="G79" s="215" t="str">
        <f ca="1">IF(C79=$X$4,"Enter smelter details",IF(ISERROR($V79),"",OFFSET('Smelter Look-up'!$F$4,$V79-4,0)))</f>
        <v>RMI</v>
      </c>
      <c r="H79" s="216" t="s">
        <v>15803</v>
      </c>
      <c r="I79" s="217" t="s">
        <v>15804</v>
      </c>
      <c r="J79" s="217" t="s">
        <v>6770</v>
      </c>
      <c r="K79" s="268"/>
      <c r="L79" s="268"/>
      <c r="M79" s="268"/>
      <c r="N79" s="268" t="s">
        <v>15805</v>
      </c>
      <c r="O79" s="268" t="s">
        <v>15806</v>
      </c>
      <c r="P79" s="218"/>
      <c r="Q79" s="269" t="s">
        <v>15609</v>
      </c>
      <c r="R79" s="215" t="str">
        <f ca="1">IF(ISERROR($V79),"",OFFSET('Smelter Look-up'!$C$4,$V79-4,0)&amp;"")</f>
        <v>JX Nippon Mining &amp; Metals Co., Ltd.</v>
      </c>
      <c r="S79" s="222" t="str">
        <f t="shared" ca="1" si="12"/>
        <v>JP</v>
      </c>
      <c r="T79" s="222" t="str">
        <f ca="1">IF(B79="","",IF(ISERROR(MATCH($J79,SorP!$B$1:$B$6230,0)),"",INDIRECT("'SorP'!$A$"&amp;MATCH($J79,SorP!$B$1:$B$6230,0))))</f>
        <v>JP-44</v>
      </c>
      <c r="U79" s="238"/>
      <c r="V79" s="270">
        <f>IF(C79="",NA(),MATCH($B79&amp;$C79,'Smelter Look-up'!$J:$J,0))</f>
        <v>128</v>
      </c>
      <c r="W79" s="271"/>
      <c r="X79" s="271">
        <f t="shared" si="13"/>
        <v>0</v>
      </c>
      <c r="Y79" s="271"/>
      <c r="Z79" s="271"/>
      <c r="AB79" s="273" t="str">
        <f t="shared" si="14"/>
        <v>GoldJX Nippon Mining &amp; Metals Co., Ltd.</v>
      </c>
    </row>
    <row r="80" spans="1:28" s="272" customFormat="1" ht="63.75">
      <c r="A80" s="215" t="s">
        <v>691</v>
      </c>
      <c r="B80" s="215" t="s">
        <v>1130</v>
      </c>
      <c r="C80" s="219" t="s">
        <v>1407</v>
      </c>
      <c r="D80" s="278" t="s">
        <v>1407</v>
      </c>
      <c r="E80" s="215" t="s">
        <v>883</v>
      </c>
      <c r="F80" s="215" t="str">
        <f ca="1">IF(ISERROR($V80),"",OFFSET('Smelter Look-up'!$E$4,$V80-4,0))</f>
        <v>CID000929</v>
      </c>
      <c r="G80" s="215" t="str">
        <f ca="1">IF(C80=$X$4,"Enter smelter details",IF(ISERROR($V80),"",OFFSET('Smelter Look-up'!$F$4,$V80-4,0)))</f>
        <v>RMI</v>
      </c>
      <c r="H80" s="216" t="s">
        <v>15807</v>
      </c>
      <c r="I80" s="217" t="s">
        <v>1611</v>
      </c>
      <c r="J80" s="217" t="s">
        <v>10153</v>
      </c>
      <c r="K80" s="268"/>
      <c r="L80" s="268"/>
      <c r="M80" s="268"/>
      <c r="N80" s="268" t="s">
        <v>15666</v>
      </c>
      <c r="O80" s="268" t="s">
        <v>15808</v>
      </c>
      <c r="P80" s="218"/>
      <c r="Q80" s="269" t="s">
        <v>15609</v>
      </c>
      <c r="R80" s="215" t="str">
        <f ca="1">IF(ISERROR($V80),"",OFFSET('Smelter Look-up'!$C$4,$V80-4,0)&amp;"")</f>
        <v>JSC Uralelectromed</v>
      </c>
      <c r="S80" s="222" t="str">
        <f t="shared" ca="1" si="12"/>
        <v>RU</v>
      </c>
      <c r="T80" s="222" t="str">
        <f ca="1">IF(B80="","",IF(ISERROR(MATCH($J80,SorP!$B$1:$B$6230,0)),"",INDIRECT("'SorP'!$A$"&amp;MATCH($J80,SorP!$B$1:$B$6230,0))))</f>
        <v>RU-SVE</v>
      </c>
      <c r="U80" s="238"/>
      <c r="V80" s="270">
        <f>IF(C80="",NA(),MATCH($B80&amp;$C80,'Smelter Look-up'!$J:$J,0))</f>
        <v>127</v>
      </c>
      <c r="W80" s="271"/>
      <c r="X80" s="271">
        <f t="shared" si="13"/>
        <v>0</v>
      </c>
      <c r="Y80" s="271"/>
      <c r="Z80" s="271"/>
      <c r="AB80" s="273" t="str">
        <f t="shared" si="14"/>
        <v>GoldJSC Uralelectromed</v>
      </c>
    </row>
    <row r="81" spans="1:28" s="272" customFormat="1" ht="102">
      <c r="A81" s="215" t="s">
        <v>689</v>
      </c>
      <c r="B81" s="215" t="s">
        <v>1130</v>
      </c>
      <c r="C81" s="219" t="s">
        <v>2311</v>
      </c>
      <c r="D81" s="278" t="s">
        <v>2311</v>
      </c>
      <c r="E81" s="215" t="s">
        <v>1097</v>
      </c>
      <c r="F81" s="215" t="str">
        <f ca="1">IF(ISERROR($V81),"",OFFSET('Smelter Look-up'!$E$4,$V81-4,0))</f>
        <v>CID000924</v>
      </c>
      <c r="G81" s="215" t="str">
        <f ca="1">IF(C81=$X$4,"Enter smelter details",IF(ISERROR($V81),"",OFFSET('Smelter Look-up'!$F$4,$V81-4,0)))</f>
        <v>RMI</v>
      </c>
      <c r="H81" s="216" t="s">
        <v>15809</v>
      </c>
      <c r="I81" s="217" t="s">
        <v>1609</v>
      </c>
      <c r="J81" s="217" t="s">
        <v>1610</v>
      </c>
      <c r="K81" s="268"/>
      <c r="L81" s="268"/>
      <c r="M81" s="268"/>
      <c r="N81" s="268" t="s">
        <v>15810</v>
      </c>
      <c r="O81" s="268" t="s">
        <v>15811</v>
      </c>
      <c r="P81" s="218"/>
      <c r="Q81" s="269" t="s">
        <v>15609</v>
      </c>
      <c r="R81" s="215" t="str">
        <f ca="1">IF(ISERROR($V81),"",OFFSET('Smelter Look-up'!$C$4,$V81-4,0)&amp;"")</f>
        <v>Asahi Refining Canada Ltd.</v>
      </c>
      <c r="S81" s="222" t="str">
        <f t="shared" ca="1" si="12"/>
        <v>CA</v>
      </c>
      <c r="T81" s="222" t="str">
        <f ca="1">IF(B81="","",IF(ISERROR(MATCH($J81,SorP!$B$1:$B$6230,0)),"",INDIRECT("'SorP'!$A$"&amp;MATCH($J81,SorP!$B$1:$B$6230,0))))</f>
        <v>CA-ON</v>
      </c>
      <c r="U81" s="238"/>
      <c r="V81" s="270">
        <f>IF(C81="",NA(),MATCH($B81&amp;$C81,'Smelter Look-up'!$J:$J,0))</f>
        <v>27</v>
      </c>
      <c r="W81" s="271"/>
      <c r="X81" s="271">
        <f t="shared" si="13"/>
        <v>0</v>
      </c>
      <c r="Y81" s="271"/>
      <c r="Z81" s="271"/>
      <c r="AB81" s="273" t="str">
        <f t="shared" si="14"/>
        <v>GoldAsahi Refining Canada Ltd.</v>
      </c>
    </row>
    <row r="82" spans="1:28" s="272" customFormat="1" ht="140.25">
      <c r="A82" s="215" t="s">
        <v>688</v>
      </c>
      <c r="B82" s="215" t="s">
        <v>1130</v>
      </c>
      <c r="C82" s="219" t="s">
        <v>2217</v>
      </c>
      <c r="D82" s="278" t="s">
        <v>2217</v>
      </c>
      <c r="E82" s="215" t="s">
        <v>2463</v>
      </c>
      <c r="F82" s="215" t="str">
        <f ca="1">IF(ISERROR($V82),"",OFFSET('Smelter Look-up'!$E$4,$V82-4,0))</f>
        <v>CID000920</v>
      </c>
      <c r="G82" s="215" t="str">
        <f ca="1">IF(C82=$X$4,"Enter smelter details",IF(ISERROR($V82),"",OFFSET('Smelter Look-up'!$F$4,$V82-4,0)))</f>
        <v>RMI</v>
      </c>
      <c r="H82" s="216" t="s">
        <v>15812</v>
      </c>
      <c r="I82" s="217" t="s">
        <v>1606</v>
      </c>
      <c r="J82" s="217" t="s">
        <v>1607</v>
      </c>
      <c r="K82" s="268"/>
      <c r="L82" s="268"/>
      <c r="M82" s="268"/>
      <c r="N82" s="268" t="s">
        <v>15813</v>
      </c>
      <c r="O82" s="268" t="s">
        <v>15814</v>
      </c>
      <c r="P82" s="218"/>
      <c r="Q82" s="269" t="s">
        <v>15609</v>
      </c>
      <c r="R82" s="215" t="str">
        <f ca="1">IF(ISERROR($V82),"",OFFSET('Smelter Look-up'!$C$4,$V82-4,0)&amp;"")</f>
        <v>Asahi Refining USA Inc.</v>
      </c>
      <c r="S82" s="222" t="str">
        <f t="shared" ca="1" si="12"/>
        <v>US</v>
      </c>
      <c r="T82" s="222" t="str">
        <f ca="1">IF(B82="","",IF(ISERROR(MATCH($J82,SorP!$B$1:$B$6230,0)),"",INDIRECT("'SorP'!$A$"&amp;MATCH($J82,SorP!$B$1:$B$6230,0))))</f>
        <v>US-UT</v>
      </c>
      <c r="U82" s="238"/>
      <c r="V82" s="270">
        <f>IF(C82="",NA(),MATCH($B82&amp;$C82,'Smelter Look-up'!$J:$J,0))</f>
        <v>28</v>
      </c>
      <c r="W82" s="271"/>
      <c r="X82" s="271">
        <f t="shared" si="13"/>
        <v>0</v>
      </c>
      <c r="Y82" s="271"/>
      <c r="Z82" s="271"/>
      <c r="AB82" s="273" t="str">
        <f t="shared" si="14"/>
        <v>GoldAsahi Refining USA Inc.</v>
      </c>
    </row>
    <row r="83" spans="1:28" s="272" customFormat="1" ht="102">
      <c r="A83" s="215" t="s">
        <v>687</v>
      </c>
      <c r="B83" s="215" t="s">
        <v>1130</v>
      </c>
      <c r="C83" s="219" t="s">
        <v>2325</v>
      </c>
      <c r="D83" s="278" t="s">
        <v>2325</v>
      </c>
      <c r="E83" s="215" t="s">
        <v>1100</v>
      </c>
      <c r="F83" s="215" t="str">
        <f ca="1">IF(ISERROR($V83),"",OFFSET('Smelter Look-up'!$E$4,$V83-4,0))</f>
        <v>CID000855</v>
      </c>
      <c r="G83" s="215" t="str">
        <f ca="1">IF(C83=$X$4,"Enter smelter details",IF(ISERROR($V83),"",OFFSET('Smelter Look-up'!$F$4,$V83-4,0)))</f>
        <v>RMI</v>
      </c>
      <c r="H83" s="216" t="s">
        <v>15815</v>
      </c>
      <c r="I83" s="217" t="s">
        <v>1604</v>
      </c>
      <c r="J83" s="217" t="s">
        <v>13842</v>
      </c>
      <c r="K83" s="268"/>
      <c r="L83" s="268"/>
      <c r="M83" s="268"/>
      <c r="N83" s="268" t="s">
        <v>15794</v>
      </c>
      <c r="O83" s="268" t="s">
        <v>15816</v>
      </c>
      <c r="P83" s="218"/>
      <c r="Q83" s="269" t="s">
        <v>15609</v>
      </c>
      <c r="R83" s="215" t="str">
        <f ca="1">IF(ISERROR($V83),"",OFFSET('Smelter Look-up'!$C$4,$V83-4,0)&amp;"")</f>
        <v>Jiangxi Copper Co., Ltd.</v>
      </c>
      <c r="S83" s="222" t="str">
        <f t="shared" ca="1" si="12"/>
        <v>CN</v>
      </c>
      <c r="T83" s="222" t="str">
        <f ca="1">IF(B83="","",IF(ISERROR(MATCH($J83,SorP!$B$1:$B$6230,0)),"",INDIRECT("'SorP'!$A$"&amp;MATCH($J83,SorP!$B$1:$B$6230,0))))</f>
        <v>CN-JX</v>
      </c>
      <c r="U83" s="238"/>
      <c r="V83" s="270">
        <f>IF(C83="",NA(),MATCH($B83&amp;$C83,'Smelter Look-up'!$J:$J,0))</f>
        <v>120</v>
      </c>
      <c r="W83" s="271"/>
      <c r="X83" s="271">
        <f t="shared" si="13"/>
        <v>0</v>
      </c>
      <c r="Y83" s="271"/>
      <c r="Z83" s="271"/>
      <c r="AB83" s="273" t="str">
        <f t="shared" si="14"/>
        <v>GoldJiangxi Copper Co., Ltd.</v>
      </c>
    </row>
    <row r="84" spans="1:28" s="272" customFormat="1" ht="63.75">
      <c r="A84" s="215" t="s">
        <v>686</v>
      </c>
      <c r="B84" s="215" t="s">
        <v>1130</v>
      </c>
      <c r="C84" s="219" t="s">
        <v>908</v>
      </c>
      <c r="D84" s="278" t="s">
        <v>908</v>
      </c>
      <c r="E84" s="215" t="s">
        <v>1108</v>
      </c>
      <c r="F84" s="215" t="str">
        <f ca="1">IF(ISERROR($V84),"",OFFSET('Smelter Look-up'!$E$4,$V84-4,0))</f>
        <v>CID000823</v>
      </c>
      <c r="G84" s="215" t="str">
        <f ca="1">IF(C84=$X$4,"Enter smelter details",IF(ISERROR($V84),"",OFFSET('Smelter Look-up'!$F$4,$V84-4,0)))</f>
        <v>RMI</v>
      </c>
      <c r="H84" s="216" t="s">
        <v>15817</v>
      </c>
      <c r="I84" s="217" t="s">
        <v>1603</v>
      </c>
      <c r="J84" s="217" t="s">
        <v>1603</v>
      </c>
      <c r="K84" s="268"/>
      <c r="L84" s="268"/>
      <c r="M84" s="268"/>
      <c r="N84" s="268" t="s">
        <v>15666</v>
      </c>
      <c r="O84" s="268" t="s">
        <v>15818</v>
      </c>
      <c r="P84" s="218"/>
      <c r="Q84" s="269" t="s">
        <v>15609</v>
      </c>
      <c r="R84" s="215" t="str">
        <f ca="1">IF(ISERROR($V84),"",OFFSET('Smelter Look-up'!$C$4,$V84-4,0)&amp;"")</f>
        <v>Japan Mint</v>
      </c>
      <c r="S84" s="222" t="str">
        <f t="shared" ca="1" si="12"/>
        <v>JP</v>
      </c>
      <c r="T84" s="222" t="str">
        <f ca="1">IF(B84="","",IF(ISERROR(MATCH($J84,SorP!$B$1:$B$6230,0)),"",INDIRECT("'SorP'!$A$"&amp;MATCH($J84,SorP!$B$1:$B$6230,0))))</f>
        <v>JP-27</v>
      </c>
      <c r="U84" s="238"/>
      <c r="V84" s="270">
        <f>IF(C84="",NA(),MATCH($B84&amp;$C84,'Smelter Look-up'!$J:$J,0))</f>
        <v>118</v>
      </c>
      <c r="W84" s="271"/>
      <c r="X84" s="271">
        <f t="shared" si="13"/>
        <v>0</v>
      </c>
      <c r="Y84" s="271"/>
      <c r="Z84" s="271"/>
      <c r="AB84" s="273" t="str">
        <f t="shared" si="14"/>
        <v>GoldJapan Mint</v>
      </c>
    </row>
    <row r="85" spans="1:28" s="272" customFormat="1" ht="114.75">
      <c r="A85" s="215" t="s">
        <v>685</v>
      </c>
      <c r="B85" s="215" t="s">
        <v>1130</v>
      </c>
      <c r="C85" s="219" t="s">
        <v>1235</v>
      </c>
      <c r="D85" s="278" t="s">
        <v>1235</v>
      </c>
      <c r="E85" s="215" t="s">
        <v>889</v>
      </c>
      <c r="F85" s="215" t="str">
        <f ca="1">IF(ISERROR($V85),"",OFFSET('Smelter Look-up'!$E$4,$V85-4,0))</f>
        <v>CID000814</v>
      </c>
      <c r="G85" s="215" t="str">
        <f ca="1">IF(C85=$X$4,"Enter smelter details",IF(ISERROR($V85),"",OFFSET('Smelter Look-up'!$F$4,$V85-4,0)))</f>
        <v>RMI</v>
      </c>
      <c r="H85" s="216" t="s">
        <v>15819</v>
      </c>
      <c r="I85" s="217" t="s">
        <v>1602</v>
      </c>
      <c r="J85" s="217" t="s">
        <v>11478</v>
      </c>
      <c r="K85" s="268"/>
      <c r="L85" s="268"/>
      <c r="M85" s="268"/>
      <c r="N85" s="268" t="s">
        <v>15820</v>
      </c>
      <c r="O85" s="268" t="s">
        <v>15821</v>
      </c>
      <c r="P85" s="218"/>
      <c r="Q85" s="269" t="s">
        <v>15609</v>
      </c>
      <c r="R85" s="215" t="str">
        <f ca="1">IF(ISERROR($V85),"",OFFSET('Smelter Look-up'!$C$4,$V85-4,0)&amp;"")</f>
        <v>Istanbul Gold Refinery</v>
      </c>
      <c r="S85" s="222" t="str">
        <f t="shared" ca="1" si="12"/>
        <v>TR</v>
      </c>
      <c r="T85" s="222" t="str">
        <f ca="1">IF(B85="","",IF(ISERROR(MATCH($J85,SorP!$B$1:$B$6230,0)),"",INDIRECT("'SorP'!$A$"&amp;MATCH($J85,SorP!$B$1:$B$6230,0))))</f>
        <v>TR-34</v>
      </c>
      <c r="U85" s="238"/>
      <c r="V85" s="270">
        <f>IF(C85="",NA(),MATCH($B85&amp;$C85,'Smelter Look-up'!$J:$J,0))</f>
        <v>115</v>
      </c>
      <c r="W85" s="271"/>
      <c r="X85" s="271">
        <f t="shared" si="13"/>
        <v>0</v>
      </c>
      <c r="Y85" s="271"/>
      <c r="Z85" s="271"/>
      <c r="AB85" s="273" t="str">
        <f t="shared" si="14"/>
        <v>GoldIstanbul Gold Refinery</v>
      </c>
    </row>
    <row r="86" spans="1:28" s="272" customFormat="1" ht="165.75">
      <c r="A86" s="215" t="s">
        <v>684</v>
      </c>
      <c r="B86" s="215" t="s">
        <v>1130</v>
      </c>
      <c r="C86" s="219" t="s">
        <v>1228</v>
      </c>
      <c r="D86" s="278" t="s">
        <v>1228</v>
      </c>
      <c r="E86" s="215" t="s">
        <v>1108</v>
      </c>
      <c r="F86" s="215" t="str">
        <f ca="1">IF(ISERROR($V86),"",OFFSET('Smelter Look-up'!$E$4,$V86-4,0))</f>
        <v>CID000807</v>
      </c>
      <c r="G86" s="215" t="str">
        <f ca="1">IF(C86=$X$4,"Enter smelter details",IF(ISERROR($V86),"",OFFSET('Smelter Look-up'!$F$4,$V86-4,0)))</f>
        <v>RMI</v>
      </c>
      <c r="H86" s="216" t="s">
        <v>15822</v>
      </c>
      <c r="I86" s="217" t="s">
        <v>1601</v>
      </c>
      <c r="J86" s="217" t="s">
        <v>1587</v>
      </c>
      <c r="K86" s="268"/>
      <c r="L86" s="268"/>
      <c r="M86" s="268"/>
      <c r="N86" s="268" t="s">
        <v>15823</v>
      </c>
      <c r="O86" s="268" t="s">
        <v>15824</v>
      </c>
      <c r="P86" s="218"/>
      <c r="Q86" s="269" t="s">
        <v>15609</v>
      </c>
      <c r="R86" s="215" t="str">
        <f ca="1">IF(ISERROR($V86),"",OFFSET('Smelter Look-up'!$C$4,$V86-4,0)&amp;"")</f>
        <v>Ishifuku Metal Industry Co., Ltd.</v>
      </c>
      <c r="S86" s="222" t="str">
        <f t="shared" ca="1" si="12"/>
        <v>JP</v>
      </c>
      <c r="T86" s="222" t="str">
        <f ca="1">IF(B86="","",IF(ISERROR(MATCH($J86,SorP!$B$1:$B$6230,0)),"",INDIRECT("'SorP'!$A$"&amp;MATCH($J86,SorP!$B$1:$B$6230,0))))</f>
        <v>JP-11</v>
      </c>
      <c r="U86" s="238"/>
      <c r="V86" s="270">
        <f>IF(C86="",NA(),MATCH($B86&amp;$C86,'Smelter Look-up'!$J:$J,0))</f>
        <v>114</v>
      </c>
      <c r="W86" s="271"/>
      <c r="X86" s="271">
        <f t="shared" si="13"/>
        <v>0</v>
      </c>
      <c r="Y86" s="271"/>
      <c r="Z86" s="271"/>
      <c r="AB86" s="273" t="str">
        <f t="shared" si="14"/>
        <v>GoldIshifuku Metal Industry Co., Ltd.</v>
      </c>
    </row>
    <row r="87" spans="1:28" s="272" customFormat="1" ht="153">
      <c r="A87" s="215" t="s">
        <v>683</v>
      </c>
      <c r="B87" s="215" t="s">
        <v>1130</v>
      </c>
      <c r="C87" s="219" t="s">
        <v>2324</v>
      </c>
      <c r="D87" s="278" t="s">
        <v>2324</v>
      </c>
      <c r="E87" s="215" t="s">
        <v>1100</v>
      </c>
      <c r="F87" s="215" t="str">
        <f ca="1">IF(ISERROR($V87),"",OFFSET('Smelter Look-up'!$E$4,$V87-4,0))</f>
        <v>CID000801</v>
      </c>
      <c r="G87" s="215" t="str">
        <f ca="1">IF(C87=$X$4,"Enter smelter details",IF(ISERROR($V87),"",OFFSET('Smelter Look-up'!$F$4,$V87-4,0)))</f>
        <v>RMI</v>
      </c>
      <c r="H87" s="216" t="s">
        <v>15825</v>
      </c>
      <c r="I87" s="217" t="s">
        <v>1600</v>
      </c>
      <c r="J87" s="217" t="s">
        <v>13825</v>
      </c>
      <c r="K87" s="268"/>
      <c r="L87" s="268"/>
      <c r="M87" s="268"/>
      <c r="N87" s="268" t="s">
        <v>15826</v>
      </c>
      <c r="O87" s="268" t="s">
        <v>15827</v>
      </c>
      <c r="P87" s="218"/>
      <c r="Q87" s="269" t="s">
        <v>15609</v>
      </c>
      <c r="R87" s="215" t="str">
        <f ca="1">IF(ISERROR($V87),"",OFFSET('Smelter Look-up'!$C$4,$V87-4,0)&amp;"")</f>
        <v>Inner Mongolia Qiankun Gold and Silver Refinery Share Co., Ltd.</v>
      </c>
      <c r="S87" s="222" t="str">
        <f t="shared" ca="1" si="12"/>
        <v>CN</v>
      </c>
      <c r="T87" s="222" t="str">
        <f ca="1">IF(B87="","",IF(ISERROR(MATCH($J87,SorP!$B$1:$B$6230,0)),"",INDIRECT("'SorP'!$A$"&amp;MATCH($J87,SorP!$B$1:$B$6230,0))))</f>
        <v>CN-NM</v>
      </c>
      <c r="U87" s="238"/>
      <c r="V87" s="270">
        <f>IF(C87="",NA(),MATCH($B87&amp;$C87,'Smelter Look-up'!$J:$J,0))</f>
        <v>112</v>
      </c>
      <c r="W87" s="271"/>
      <c r="X87" s="271">
        <f t="shared" si="13"/>
        <v>0</v>
      </c>
      <c r="Y87" s="271"/>
      <c r="Z87" s="271"/>
      <c r="AB87" s="273" t="str">
        <f t="shared" si="14"/>
        <v>GoldInner Mongolia Qiankun Gold and Silver Refinery Share Co., Ltd.</v>
      </c>
    </row>
    <row r="88" spans="1:28" s="272" customFormat="1" ht="63.75">
      <c r="A88" s="215" t="s">
        <v>680</v>
      </c>
      <c r="B88" s="215" t="s">
        <v>1130</v>
      </c>
      <c r="C88" s="219" t="s">
        <v>15335</v>
      </c>
      <c r="D88" s="278" t="s">
        <v>15335</v>
      </c>
      <c r="E88" s="215" t="s">
        <v>1101</v>
      </c>
      <c r="F88" s="215" t="str">
        <f ca="1">IF(ISERROR($V88),"",OFFSET('Smelter Look-up'!$E$4,$V88-4,0))</f>
        <v>CID000711</v>
      </c>
      <c r="G88" s="215" t="str">
        <f ca="1">IF(C88=$X$4,"Enter smelter details",IF(ISERROR($V88),"",OFFSET('Smelter Look-up'!$F$4,$V88-4,0)))</f>
        <v>RMI</v>
      </c>
      <c r="H88" s="216" t="s">
        <v>15828</v>
      </c>
      <c r="I88" s="217" t="s">
        <v>1596</v>
      </c>
      <c r="J88" s="217" t="s">
        <v>4282</v>
      </c>
      <c r="K88" s="268"/>
      <c r="L88" s="268"/>
      <c r="M88" s="268"/>
      <c r="N88" s="268" t="s">
        <v>15829</v>
      </c>
      <c r="O88" s="268" t="s">
        <v>15830</v>
      </c>
      <c r="P88" s="218"/>
      <c r="Q88" s="269" t="s">
        <v>15609</v>
      </c>
      <c r="R88" s="215" t="str">
        <f ca="1">IF(ISERROR($V88),"",OFFSET('Smelter Look-up'!$C$4,$V88-4,0)&amp;"")</f>
        <v>Heraeus Germany GmbH Co. KG</v>
      </c>
      <c r="S88" s="222" t="str">
        <f t="shared" ca="1" si="12"/>
        <v>DE</v>
      </c>
      <c r="T88" s="222" t="str">
        <f ca="1">IF(B88="","",IF(ISERROR(MATCH($J88,SorP!$B$1:$B$6230,0)),"",INDIRECT("'SorP'!$A$"&amp;MATCH($J88,SorP!$B$1:$B$6230,0))))</f>
        <v>DE-HE</v>
      </c>
      <c r="U88" s="238"/>
      <c r="V88" s="270">
        <f>IF(C88="",NA(),MATCH($B88&amp;$C88,'Smelter Look-up'!$J:$J,0))</f>
        <v>101</v>
      </c>
      <c r="W88" s="271"/>
      <c r="X88" s="271">
        <f t="shared" si="13"/>
        <v>0</v>
      </c>
      <c r="Y88" s="271"/>
      <c r="Z88" s="271"/>
      <c r="AB88" s="273" t="str">
        <f t="shared" si="14"/>
        <v>GoldHeraeus Germany GmbH Co. KG</v>
      </c>
    </row>
    <row r="89" spans="1:28" s="272" customFormat="1" ht="293.25">
      <c r="A89" s="215" t="s">
        <v>679</v>
      </c>
      <c r="B89" s="215" t="s">
        <v>1130</v>
      </c>
      <c r="C89" s="219" t="s">
        <v>2532</v>
      </c>
      <c r="D89" s="278" t="s">
        <v>2532</v>
      </c>
      <c r="E89" s="215" t="s">
        <v>1100</v>
      </c>
      <c r="F89" s="215" t="str">
        <f ca="1">IF(ISERROR($V89),"",OFFSET('Smelter Look-up'!$E$4,$V89-4,0))</f>
        <v>CID000707</v>
      </c>
      <c r="G89" s="215" t="str">
        <f ca="1">IF(C89=$X$4,"Enter smelter details",IF(ISERROR($V89),"",OFFSET('Smelter Look-up'!$F$4,$V89-4,0)))</f>
        <v>RMI</v>
      </c>
      <c r="H89" s="216" t="s">
        <v>15831</v>
      </c>
      <c r="I89" s="217" t="s">
        <v>1595</v>
      </c>
      <c r="J89" s="217" t="s">
        <v>14067</v>
      </c>
      <c r="K89" s="268"/>
      <c r="L89" s="268"/>
      <c r="M89" s="268"/>
      <c r="N89" s="268" t="s">
        <v>15832</v>
      </c>
      <c r="O89" s="268" t="s">
        <v>15833</v>
      </c>
      <c r="P89" s="218"/>
      <c r="Q89" s="269" t="s">
        <v>15609</v>
      </c>
      <c r="R89" s="215" t="str">
        <f ca="1">IF(ISERROR($V89),"",OFFSET('Smelter Look-up'!$C$4,$V89-4,0)&amp;"")</f>
        <v>Heraeus Metals Hong Kong Ltd.</v>
      </c>
      <c r="S89" s="222" t="str">
        <f t="shared" ca="1" si="12"/>
        <v>CN</v>
      </c>
      <c r="T89" s="222" t="str">
        <f ca="1">IF(B89="","",IF(ISERROR(MATCH($J89,SorP!$B$1:$B$6230,0)),"",INDIRECT("'SorP'!$A$"&amp;MATCH($J89,SorP!$B$1:$B$6230,0))))</f>
        <v>CN-HK</v>
      </c>
      <c r="U89" s="238"/>
      <c r="V89" s="270">
        <f>IF(C89="",NA(),MATCH($B89&amp;$C89,'Smelter Look-up'!$J:$J,0))</f>
        <v>103</v>
      </c>
      <c r="W89" s="271"/>
      <c r="X89" s="271">
        <f t="shared" si="13"/>
        <v>0</v>
      </c>
      <c r="Y89" s="271"/>
      <c r="Z89" s="271"/>
      <c r="AB89" s="273" t="str">
        <f t="shared" si="14"/>
        <v>GoldHeraeus Metals Hong Kong Ltd.</v>
      </c>
    </row>
    <row r="90" spans="1:28" s="272" customFormat="1" ht="127.5">
      <c r="A90" s="215" t="s">
        <v>678</v>
      </c>
      <c r="B90" s="215" t="s">
        <v>1130</v>
      </c>
      <c r="C90" s="219" t="s">
        <v>1039</v>
      </c>
      <c r="D90" s="278" t="s">
        <v>1039</v>
      </c>
      <c r="E90" s="215" t="s">
        <v>1101</v>
      </c>
      <c r="F90" s="215" t="str">
        <f ca="1">IF(ISERROR($V90),"",OFFSET('Smelter Look-up'!$E$4,$V90-4,0))</f>
        <v>CID000694</v>
      </c>
      <c r="G90" s="215" t="str">
        <f ca="1">IF(C90=$X$4,"Enter smelter details",IF(ISERROR($V90),"",OFFSET('Smelter Look-up'!$F$4,$V90-4,0)))</f>
        <v>RMI</v>
      </c>
      <c r="H90" s="216" t="s">
        <v>15834</v>
      </c>
      <c r="I90" s="217" t="s">
        <v>1549</v>
      </c>
      <c r="J90" s="217" t="s">
        <v>1550</v>
      </c>
      <c r="K90" s="268"/>
      <c r="L90" s="268"/>
      <c r="M90" s="268"/>
      <c r="N90" s="268" t="s">
        <v>15835</v>
      </c>
      <c r="O90" s="268" t="s">
        <v>15836</v>
      </c>
      <c r="P90" s="218"/>
      <c r="Q90" s="269" t="s">
        <v>15609</v>
      </c>
      <c r="R90" s="215" t="str">
        <f ca="1">IF(ISERROR($V90),"",OFFSET('Smelter Look-up'!$C$4,$V90-4,0)&amp;"")</f>
        <v>Heimerle + Meule GmbH</v>
      </c>
      <c r="S90" s="222" t="str">
        <f t="shared" ca="1" si="12"/>
        <v>DE</v>
      </c>
      <c r="T90" s="222" t="str">
        <f ca="1">IF(B90="","",IF(ISERROR(MATCH($J90,SorP!$B$1:$B$6230,0)),"",INDIRECT("'SorP'!$A$"&amp;MATCH($J90,SorP!$B$1:$B$6230,0))))</f>
        <v>DE-BW</v>
      </c>
      <c r="U90" s="238"/>
      <c r="V90" s="270">
        <f>IF(C90="",NA(),MATCH($B90&amp;$C90,'Smelter Look-up'!$J:$J,0))</f>
        <v>97</v>
      </c>
      <c r="W90" s="271"/>
      <c r="X90" s="271">
        <f t="shared" si="13"/>
        <v>0</v>
      </c>
      <c r="Y90" s="271"/>
      <c r="Z90" s="271"/>
      <c r="AB90" s="273" t="str">
        <f t="shared" si="14"/>
        <v>GoldHeimerle + Meule GmbH</v>
      </c>
    </row>
    <row r="91" spans="1:28" s="272" customFormat="1" ht="140.25">
      <c r="A91" s="215" t="s">
        <v>2530</v>
      </c>
      <c r="B91" s="215" t="s">
        <v>1130</v>
      </c>
      <c r="C91" s="219" t="s">
        <v>14083</v>
      </c>
      <c r="D91" s="278" t="s">
        <v>14083</v>
      </c>
      <c r="E91" s="215" t="s">
        <v>1111</v>
      </c>
      <c r="F91" s="215" t="str">
        <f ca="1">IF(ISERROR($V91),"",OFFSET('Smelter Look-up'!$E$4,$V91-4,0))</f>
        <v>CID000689</v>
      </c>
      <c r="G91" s="215" t="str">
        <f ca="1">IF(C91=$X$4,"Enter smelter details",IF(ISERROR($V91),"",OFFSET('Smelter Look-up'!$F$4,$V91-4,0)))</f>
        <v>RMI</v>
      </c>
      <c r="H91" s="216" t="s">
        <v>15837</v>
      </c>
      <c r="I91" s="217" t="s">
        <v>2531</v>
      </c>
      <c r="J91" s="217" t="s">
        <v>13080</v>
      </c>
      <c r="K91" s="268"/>
      <c r="L91" s="268"/>
      <c r="M91" s="268"/>
      <c r="N91" s="268" t="s">
        <v>15838</v>
      </c>
      <c r="O91" s="268" t="s">
        <v>15839</v>
      </c>
      <c r="P91" s="218"/>
      <c r="Q91" s="269" t="s">
        <v>15609</v>
      </c>
      <c r="R91" s="215" t="str">
        <f ca="1">IF(ISERROR($V91),"",OFFSET('Smelter Look-up'!$C$4,$V91-4,0)&amp;"")</f>
        <v>LT Metal Ltd.</v>
      </c>
      <c r="S91" s="222" t="str">
        <f t="shared" ca="1" si="12"/>
        <v>KR</v>
      </c>
      <c r="T91" s="222" t="str">
        <f ca="1">IF(B91="","",IF(ISERROR(MATCH($J91,SorP!$B$1:$B$6230,0)),"",INDIRECT("'SorP'!$A$"&amp;MATCH($J91,SorP!$B$1:$B$6230,0))))</f>
        <v>KR-28</v>
      </c>
      <c r="U91" s="238"/>
      <c r="V91" s="270">
        <f>IF(C91="",NA(),MATCH($B91&amp;$C91,'Smelter Look-up'!$J:$J,0))</f>
        <v>154</v>
      </c>
      <c r="W91" s="271"/>
      <c r="X91" s="271">
        <f t="shared" si="13"/>
        <v>0</v>
      </c>
      <c r="Y91" s="271"/>
      <c r="Z91" s="271"/>
      <c r="AB91" s="273" t="str">
        <f t="shared" si="14"/>
        <v>GoldLT Metal Ltd.</v>
      </c>
    </row>
    <row r="92" spans="1:28" s="272" customFormat="1" ht="127.5">
      <c r="A92" s="215" t="s">
        <v>674</v>
      </c>
      <c r="B92" s="215" t="s">
        <v>1130</v>
      </c>
      <c r="C92" s="219" t="s">
        <v>15334</v>
      </c>
      <c r="D92" s="278" t="s">
        <v>15334</v>
      </c>
      <c r="E92" s="215" t="s">
        <v>883</v>
      </c>
      <c r="F92" s="215" t="str">
        <f ca="1">IF(ISERROR($V92),"",OFFSET('Smelter Look-up'!$E$4,$V92-4,0))</f>
        <v>CID000493</v>
      </c>
      <c r="G92" s="215" t="str">
        <f ca="1">IF(C92=$X$4,"Enter smelter details",IF(ISERROR($V92),"",OFFSET('Smelter Look-up'!$F$4,$V92-4,0)))</f>
        <v>RMI</v>
      </c>
      <c r="H92" s="216" t="s">
        <v>15840</v>
      </c>
      <c r="I92" s="217" t="s">
        <v>1588</v>
      </c>
      <c r="J92" s="217" t="s">
        <v>10215</v>
      </c>
      <c r="K92" s="268"/>
      <c r="L92" s="268"/>
      <c r="M92" s="268"/>
      <c r="N92" s="268" t="s">
        <v>15716</v>
      </c>
      <c r="O92" s="268" t="s">
        <v>15841</v>
      </c>
      <c r="P92" s="218"/>
      <c r="Q92" s="269" t="s">
        <v>15609</v>
      </c>
      <c r="R92" s="215" t="str">
        <f ca="1">IF(ISERROR($V92),"",OFFSET('Smelter Look-up'!$C$4,$V92-4,0)&amp;"")</f>
        <v>JSC Novosibirsk Refinery</v>
      </c>
      <c r="S92" s="222" t="str">
        <f t="shared" ca="1" si="12"/>
        <v>RU</v>
      </c>
      <c r="T92" s="222" t="str">
        <f ca="1">IF(B92="","",IF(ISERROR(MATCH($J92,SorP!$B$1:$B$6230,0)),"",INDIRECT("'SorP'!$A$"&amp;MATCH($J92,SorP!$B$1:$B$6230,0))))</f>
        <v>RU-NVS</v>
      </c>
      <c r="U92" s="238"/>
      <c r="V92" s="270">
        <f>IF(C92="",NA(),MATCH($B92&amp;$C92,'Smelter Look-up'!$J:$J,0))</f>
        <v>126</v>
      </c>
      <c r="W92" s="271"/>
      <c r="X92" s="271">
        <f t="shared" si="13"/>
        <v>0</v>
      </c>
      <c r="Y92" s="271"/>
      <c r="Z92" s="271"/>
      <c r="AB92" s="273" t="str">
        <f t="shared" si="14"/>
        <v>GoldJSC Novosibirsk Refinery</v>
      </c>
    </row>
    <row r="93" spans="1:28" s="272" customFormat="1" ht="89.25">
      <c r="A93" s="215" t="s">
        <v>397</v>
      </c>
      <c r="B93" s="215" t="s">
        <v>1130</v>
      </c>
      <c r="C93" s="219" t="s">
        <v>14078</v>
      </c>
      <c r="D93" s="278" t="s">
        <v>14078</v>
      </c>
      <c r="E93" s="215" t="s">
        <v>1108</v>
      </c>
      <c r="F93" s="215" t="str">
        <f ca="1">IF(ISERROR($V93),"",OFFSET('Smelter Look-up'!$E$4,$V93-4,0))</f>
        <v>CID000425</v>
      </c>
      <c r="G93" s="215" t="str">
        <f ca="1">IF(C93=$X$4,"Enter smelter details",IF(ISERROR($V93),"",OFFSET('Smelter Look-up'!$F$4,$V93-4,0)))</f>
        <v>RMI</v>
      </c>
      <c r="H93" s="216" t="s">
        <v>15842</v>
      </c>
      <c r="I93" s="217" t="s">
        <v>1586</v>
      </c>
      <c r="J93" s="217" t="s">
        <v>1587</v>
      </c>
      <c r="K93" s="268"/>
      <c r="L93" s="268"/>
      <c r="M93" s="268"/>
      <c r="N93" s="268" t="s">
        <v>15843</v>
      </c>
      <c r="O93" s="268" t="s">
        <v>15844</v>
      </c>
      <c r="P93" s="218"/>
      <c r="Q93" s="269" t="s">
        <v>15609</v>
      </c>
      <c r="R93" s="215" t="str">
        <f ca="1">IF(ISERROR($V93),"",OFFSET('Smelter Look-up'!$C$4,$V93-4,0)&amp;"")</f>
        <v>Eco-System Recycling Co., Ltd. East Plant</v>
      </c>
      <c r="S93" s="222" t="str">
        <f t="shared" ca="1" si="12"/>
        <v>JP</v>
      </c>
      <c r="T93" s="222" t="str">
        <f ca="1">IF(B93="","",IF(ISERROR(MATCH($J93,SorP!$B$1:$B$6230,0)),"",INDIRECT("'SorP'!$A$"&amp;MATCH($J93,SorP!$B$1:$B$6230,0))))</f>
        <v>JP-11</v>
      </c>
      <c r="U93" s="238"/>
      <c r="V93" s="270">
        <f>IF(C93="",NA(),MATCH($B93&amp;$C93,'Smelter Look-up'!$J:$J,0))</f>
        <v>70</v>
      </c>
      <c r="W93" s="271"/>
      <c r="X93" s="271">
        <f t="shared" si="13"/>
        <v>0</v>
      </c>
      <c r="Y93" s="271"/>
      <c r="Z93" s="271"/>
      <c r="AB93" s="273" t="str">
        <f t="shared" si="14"/>
        <v>GoldEco-System Recycling Co., Ltd. East Plant</v>
      </c>
    </row>
    <row r="94" spans="1:28" s="272" customFormat="1" ht="165.75">
      <c r="A94" s="215" t="s">
        <v>673</v>
      </c>
      <c r="B94" s="215" t="s">
        <v>1130</v>
      </c>
      <c r="C94" s="219" t="s">
        <v>906</v>
      </c>
      <c r="D94" s="278" t="s">
        <v>906</v>
      </c>
      <c r="E94" s="215" t="s">
        <v>1108</v>
      </c>
      <c r="F94" s="215" t="str">
        <f ca="1">IF(ISERROR($V94),"",OFFSET('Smelter Look-up'!$E$4,$V94-4,0))</f>
        <v>CID000401</v>
      </c>
      <c r="G94" s="215" t="str">
        <f ca="1">IF(C94=$X$4,"Enter smelter details",IF(ISERROR($V94),"",OFFSET('Smelter Look-up'!$F$4,$V94-4,0)))</f>
        <v>RMI</v>
      </c>
      <c r="H94" s="216" t="s">
        <v>15845</v>
      </c>
      <c r="I94" s="217" t="s">
        <v>1581</v>
      </c>
      <c r="J94" s="217" t="s">
        <v>1582</v>
      </c>
      <c r="K94" s="268"/>
      <c r="L94" s="268"/>
      <c r="M94" s="268"/>
      <c r="N94" s="268" t="s">
        <v>15846</v>
      </c>
      <c r="O94" s="268" t="s">
        <v>15847</v>
      </c>
      <c r="P94" s="218"/>
      <c r="Q94" s="269" t="s">
        <v>15609</v>
      </c>
      <c r="R94" s="215" t="str">
        <f ca="1">IF(ISERROR($V94),"",OFFSET('Smelter Look-up'!$C$4,$V94-4,0)&amp;"")</f>
        <v>Dowa</v>
      </c>
      <c r="S94" s="222" t="str">
        <f t="shared" ca="1" si="12"/>
        <v>JP</v>
      </c>
      <c r="T94" s="222" t="str">
        <f ca="1">IF(B94="","",IF(ISERROR(MATCH($J94,SorP!$B$1:$B$6230,0)),"",INDIRECT("'SorP'!$A$"&amp;MATCH($J94,SorP!$B$1:$B$6230,0))))</f>
        <v>JP-05</v>
      </c>
      <c r="U94" s="238"/>
      <c r="V94" s="270">
        <f>IF(C94="",NA(),MATCH($B94&amp;$C94,'Smelter Look-up'!$J:$J,0))</f>
        <v>64</v>
      </c>
      <c r="W94" s="271"/>
      <c r="X94" s="271">
        <f t="shared" si="13"/>
        <v>0</v>
      </c>
      <c r="Y94" s="271"/>
      <c r="Z94" s="271"/>
      <c r="AB94" s="273" t="str">
        <f t="shared" si="14"/>
        <v>GoldDowa</v>
      </c>
    </row>
    <row r="95" spans="1:28" s="272" customFormat="1" ht="89.25">
      <c r="A95" s="215" t="s">
        <v>672</v>
      </c>
      <c r="B95" s="215" t="s">
        <v>1130</v>
      </c>
      <c r="C95" s="219" t="s">
        <v>13133</v>
      </c>
      <c r="D95" s="278" t="s">
        <v>13133</v>
      </c>
      <c r="E95" s="215" t="s">
        <v>1101</v>
      </c>
      <c r="F95" s="215" t="str">
        <f ca="1">IF(ISERROR($V95),"",OFFSET('Smelter Look-up'!$E$4,$V95-4,0))</f>
        <v>CID000362</v>
      </c>
      <c r="G95" s="215" t="str">
        <f ca="1">IF(C95=$X$4,"Enter smelter details",IF(ISERROR($V95),"",OFFSET('Smelter Look-up'!$F$4,$V95-4,0)))</f>
        <v>RMI</v>
      </c>
      <c r="H95" s="216" t="s">
        <v>15834</v>
      </c>
      <c r="I95" s="217" t="s">
        <v>1549</v>
      </c>
      <c r="J95" s="217" t="s">
        <v>1550</v>
      </c>
      <c r="K95" s="268"/>
      <c r="L95" s="268"/>
      <c r="M95" s="268"/>
      <c r="N95" s="268" t="s">
        <v>15848</v>
      </c>
      <c r="O95" s="268" t="s">
        <v>15849</v>
      </c>
      <c r="P95" s="218"/>
      <c r="Q95" s="269" t="s">
        <v>15609</v>
      </c>
      <c r="R95" s="215" t="str">
        <f ca="1">IF(ISERROR($V95),"",OFFSET('Smelter Look-up'!$C$4,$V95-4,0)&amp;"")</f>
        <v>DODUCO Contacts and Refining GmbH</v>
      </c>
      <c r="S95" s="222" t="str">
        <f t="shared" ca="1" si="12"/>
        <v>DE</v>
      </c>
      <c r="T95" s="222" t="str">
        <f ca="1">IF(B95="","",IF(ISERROR(MATCH($J95,SorP!$B$1:$B$6230,0)),"",INDIRECT("'SorP'!$A$"&amp;MATCH($J95,SorP!$B$1:$B$6230,0))))</f>
        <v>DE-BW</v>
      </c>
      <c r="U95" s="238"/>
      <c r="V95" s="270">
        <f>IF(C95="",NA(),MATCH($B95&amp;$C95,'Smelter Look-up'!$J:$J,0))</f>
        <v>62</v>
      </c>
      <c r="W95" s="271"/>
      <c r="X95" s="271">
        <f t="shared" si="13"/>
        <v>0</v>
      </c>
      <c r="Y95" s="271"/>
      <c r="Z95" s="271"/>
      <c r="AB95" s="273" t="str">
        <f t="shared" si="14"/>
        <v>GoldDODUCO Contacts and Refining GmbH</v>
      </c>
    </row>
    <row r="96" spans="1:28" s="272" customFormat="1" ht="127.5">
      <c r="A96" s="215" t="s">
        <v>670</v>
      </c>
      <c r="B96" s="215" t="s">
        <v>1130</v>
      </c>
      <c r="C96" s="219" t="s">
        <v>2275</v>
      </c>
      <c r="D96" s="278" t="s">
        <v>2275</v>
      </c>
      <c r="E96" s="215" t="s">
        <v>1111</v>
      </c>
      <c r="F96" s="215" t="str">
        <f ca="1">IF(ISERROR($V96),"",OFFSET('Smelter Look-up'!$E$4,$V96-4,0))</f>
        <v>CID000359</v>
      </c>
      <c r="G96" s="215" t="str">
        <f ca="1">IF(C96=$X$4,"Enter smelter details",IF(ISERROR($V96),"",OFFSET('Smelter Look-up'!$F$4,$V96-4,0)))</f>
        <v>RMI</v>
      </c>
      <c r="H96" s="216" t="s">
        <v>15850</v>
      </c>
      <c r="I96" s="217" t="s">
        <v>1580</v>
      </c>
      <c r="J96" s="217" t="s">
        <v>13085</v>
      </c>
      <c r="K96" s="268"/>
      <c r="L96" s="268"/>
      <c r="M96" s="268"/>
      <c r="N96" s="268" t="s">
        <v>15851</v>
      </c>
      <c r="O96" s="268" t="s">
        <v>15852</v>
      </c>
      <c r="P96" s="218"/>
      <c r="Q96" s="269" t="s">
        <v>15609</v>
      </c>
      <c r="R96" s="215" t="str">
        <f ca="1">IF(ISERROR($V96),"",OFFSET('Smelter Look-up'!$C$4,$V96-4,0)&amp;"")</f>
        <v>DSC (Do Sung Corporation)</v>
      </c>
      <c r="S96" s="222" t="str">
        <f t="shared" ca="1" si="12"/>
        <v>KR</v>
      </c>
      <c r="T96" s="222" t="str">
        <f ca="1">IF(B96="","",IF(ISERROR(MATCH($J96,SorP!$B$1:$B$6230,0)),"",INDIRECT("'SorP'!$A$"&amp;MATCH($J96,SorP!$B$1:$B$6230,0))))</f>
        <v>KR-41</v>
      </c>
      <c r="U96" s="238"/>
      <c r="V96" s="270">
        <f>IF(C96="",NA(),MATCH($B96&amp;$C96,'Smelter Look-up'!$J:$J,0))</f>
        <v>69</v>
      </c>
      <c r="W96" s="271"/>
      <c r="X96" s="271">
        <f t="shared" si="13"/>
        <v>0</v>
      </c>
      <c r="Y96" s="271"/>
      <c r="Z96" s="271"/>
      <c r="AB96" s="273" t="str">
        <f t="shared" si="14"/>
        <v>GoldDSC (Do Sung Corporation)</v>
      </c>
    </row>
    <row r="97" spans="1:28" s="272" customFormat="1" ht="76.5">
      <c r="A97" s="215" t="s">
        <v>669</v>
      </c>
      <c r="B97" s="215" t="s">
        <v>1130</v>
      </c>
      <c r="C97" s="219" t="s">
        <v>668</v>
      </c>
      <c r="D97" s="278" t="s">
        <v>668</v>
      </c>
      <c r="E97" s="215" t="s">
        <v>1100</v>
      </c>
      <c r="F97" s="215" t="str">
        <f ca="1">IF(ISERROR($V97),"",OFFSET('Smelter Look-up'!$E$4,$V97-4,0))</f>
        <v>CID000343</v>
      </c>
      <c r="G97" s="215" t="str">
        <f ca="1">IF(C97=$X$4,"Enter smelter details",IF(ISERROR($V97),"",OFFSET('Smelter Look-up'!$F$4,$V97-4,0)))</f>
        <v>RMI</v>
      </c>
      <c r="H97" s="216" t="s">
        <v>15853</v>
      </c>
      <c r="I97" s="217" t="s">
        <v>1579</v>
      </c>
      <c r="J97" s="217" t="s">
        <v>13845</v>
      </c>
      <c r="K97" s="268"/>
      <c r="L97" s="268"/>
      <c r="M97" s="268"/>
      <c r="N97" s="268"/>
      <c r="O97" s="268"/>
      <c r="P97" s="218"/>
      <c r="Q97" s="269" t="s">
        <v>15609</v>
      </c>
      <c r="R97" s="215" t="str">
        <f ca="1">IF(ISERROR($V97),"",OFFSET('Smelter Look-up'!$C$4,$V97-4,0)&amp;"")</f>
        <v>Daye Non-Ferrous Metals Mining Ltd.</v>
      </c>
      <c r="S97" s="222" t="str">
        <f t="shared" ca="1" si="12"/>
        <v>CN</v>
      </c>
      <c r="T97" s="222" t="str">
        <f ca="1">IF(B97="","",IF(ISERROR(MATCH($J97,SorP!$B$1:$B$6230,0)),"",INDIRECT("'SorP'!$A$"&amp;MATCH($J97,SorP!$B$1:$B$6230,0))))</f>
        <v>CN-HB</v>
      </c>
      <c r="U97" s="238"/>
      <c r="V97" s="270">
        <f>IF(C97="",NA(),MATCH($B97&amp;$C97,'Smelter Look-up'!$J:$J,0))</f>
        <v>56</v>
      </c>
      <c r="W97" s="271"/>
      <c r="X97" s="271">
        <f t="shared" si="13"/>
        <v>0</v>
      </c>
      <c r="Y97" s="271"/>
      <c r="Z97" s="271"/>
      <c r="AB97" s="273" t="str">
        <f t="shared" si="14"/>
        <v>GoldDaye Non-Ferrous Metals Mining Ltd.</v>
      </c>
    </row>
    <row r="98" spans="1:28" s="272" customFormat="1" ht="140.25">
      <c r="A98" s="215" t="s">
        <v>667</v>
      </c>
      <c r="B98" s="215" t="s">
        <v>1130</v>
      </c>
      <c r="C98" s="219" t="s">
        <v>539</v>
      </c>
      <c r="D98" s="278" t="s">
        <v>539</v>
      </c>
      <c r="E98" s="215" t="s">
        <v>1108</v>
      </c>
      <c r="F98" s="215" t="str">
        <f ca="1">IF(ISERROR($V98),"",OFFSET('Smelter Look-up'!$E$4,$V98-4,0))</f>
        <v>CID000264</v>
      </c>
      <c r="G98" s="215" t="str">
        <f ca="1">IF(C98=$X$4,"Enter smelter details",IF(ISERROR($V98),"",OFFSET('Smelter Look-up'!$F$4,$V98-4,0)))</f>
        <v>RMI</v>
      </c>
      <c r="H98" s="216" t="s">
        <v>15854</v>
      </c>
      <c r="I98" s="217" t="s">
        <v>1577</v>
      </c>
      <c r="J98" s="217" t="s">
        <v>1548</v>
      </c>
      <c r="K98" s="268"/>
      <c r="L98" s="268"/>
      <c r="M98" s="268"/>
      <c r="N98" s="268" t="s">
        <v>15855</v>
      </c>
      <c r="O98" s="268" t="s">
        <v>15856</v>
      </c>
      <c r="P98" s="218"/>
      <c r="Q98" s="269" t="s">
        <v>15609</v>
      </c>
      <c r="R98" s="215" t="str">
        <f ca="1">IF(ISERROR($V98),"",OFFSET('Smelter Look-up'!$C$4,$V98-4,0)&amp;"")</f>
        <v>Chugai Mining</v>
      </c>
      <c r="S98" s="222" t="str">
        <f t="shared" ca="1" si="12"/>
        <v>JP</v>
      </c>
      <c r="T98" s="222" t="str">
        <f ca="1">IF(B98="","",IF(ISERROR(MATCH($J98,SorP!$B$1:$B$6230,0)),"",INDIRECT("'SorP'!$A$"&amp;MATCH($J98,SorP!$B$1:$B$6230,0))))</f>
        <v>JP-13</v>
      </c>
      <c r="U98" s="238"/>
      <c r="V98" s="270">
        <f>IF(C98="",NA(),MATCH($B98&amp;$C98,'Smelter Look-up'!$J:$J,0))</f>
        <v>55</v>
      </c>
      <c r="W98" s="271"/>
      <c r="X98" s="271">
        <f t="shared" si="13"/>
        <v>0</v>
      </c>
      <c r="Y98" s="271"/>
      <c r="Z98" s="271"/>
      <c r="AB98" s="273" t="str">
        <f t="shared" si="14"/>
        <v>GoldChugai Mining</v>
      </c>
    </row>
    <row r="99" spans="1:28" s="272" customFormat="1" ht="127.5">
      <c r="A99" s="215" t="s">
        <v>666</v>
      </c>
      <c r="B99" s="215" t="s">
        <v>1130</v>
      </c>
      <c r="C99" s="219" t="s">
        <v>53</v>
      </c>
      <c r="D99" s="278" t="s">
        <v>53</v>
      </c>
      <c r="E99" s="215" t="s">
        <v>1107</v>
      </c>
      <c r="F99" s="215" t="str">
        <f ca="1">IF(ISERROR($V99),"",OFFSET('Smelter Look-up'!$E$4,$V99-4,0))</f>
        <v>CID000233</v>
      </c>
      <c r="G99" s="215" t="str">
        <f ca="1">IF(C99=$X$4,"Enter smelter details",IF(ISERROR($V99),"",OFFSET('Smelter Look-up'!$F$4,$V99-4,0)))</f>
        <v>RMI</v>
      </c>
      <c r="H99" s="216" t="s">
        <v>15611</v>
      </c>
      <c r="I99" s="217" t="s">
        <v>1576</v>
      </c>
      <c r="J99" s="217" t="s">
        <v>6576</v>
      </c>
      <c r="K99" s="268"/>
      <c r="L99" s="268"/>
      <c r="M99" s="268"/>
      <c r="N99" s="268" t="s">
        <v>15857</v>
      </c>
      <c r="O99" s="268" t="s">
        <v>15858</v>
      </c>
      <c r="P99" s="218"/>
      <c r="Q99" s="269" t="s">
        <v>15609</v>
      </c>
      <c r="R99" s="215" t="str">
        <f ca="1">IF(ISERROR($V99),"",OFFSET('Smelter Look-up'!$C$4,$V99-4,0)&amp;"")</f>
        <v>Chimet S.p.A.</v>
      </c>
      <c r="S99" s="222" t="str">
        <f t="shared" ca="1" si="12"/>
        <v>IT</v>
      </c>
      <c r="T99" s="222" t="str">
        <f ca="1">IF(B99="","",IF(ISERROR(MATCH($J99,SorP!$B$1:$B$6230,0)),"",INDIRECT("'SorP'!$A$"&amp;MATCH($J99,SorP!$B$1:$B$6230,0))))</f>
        <v>IT-52</v>
      </c>
      <c r="U99" s="238"/>
      <c r="V99" s="270">
        <f>IF(C99="",NA(),MATCH($B99&amp;$C99,'Smelter Look-up'!$J:$J,0))</f>
        <v>52</v>
      </c>
      <c r="W99" s="271"/>
      <c r="X99" s="271">
        <f t="shared" si="13"/>
        <v>0</v>
      </c>
      <c r="Y99" s="271"/>
      <c r="Z99" s="271"/>
      <c r="AB99" s="273" t="str">
        <f t="shared" si="14"/>
        <v>GoldChimet S.p.A.</v>
      </c>
    </row>
    <row r="100" spans="1:28" s="272" customFormat="1" ht="76.5">
      <c r="A100" s="215" t="s">
        <v>665</v>
      </c>
      <c r="B100" s="215" t="s">
        <v>1130</v>
      </c>
      <c r="C100" s="219" t="s">
        <v>2524</v>
      </c>
      <c r="D100" s="278" t="s">
        <v>2524</v>
      </c>
      <c r="E100" s="215" t="s">
        <v>1098</v>
      </c>
      <c r="F100" s="215" t="str">
        <f ca="1">IF(ISERROR($V100),"",OFFSET('Smelter Look-up'!$E$4,$V100-4,0))</f>
        <v>CID000189</v>
      </c>
      <c r="G100" s="215" t="str">
        <f ca="1">IF(C100=$X$4,"Enter smelter details",IF(ISERROR($V100),"",OFFSET('Smelter Look-up'!$F$4,$V100-4,0)))</f>
        <v>RMI</v>
      </c>
      <c r="H100" s="216" t="s">
        <v>15859</v>
      </c>
      <c r="I100" s="217" t="s">
        <v>1572</v>
      </c>
      <c r="J100" s="217" t="s">
        <v>1573</v>
      </c>
      <c r="K100" s="268"/>
      <c r="L100" s="268"/>
      <c r="M100" s="268"/>
      <c r="N100" s="268" t="s">
        <v>15826</v>
      </c>
      <c r="O100" s="268" t="s">
        <v>15860</v>
      </c>
      <c r="P100" s="218"/>
      <c r="Q100" s="269" t="s">
        <v>15609</v>
      </c>
      <c r="R100" s="215" t="str">
        <f ca="1">IF(ISERROR($V100),"",OFFSET('Smelter Look-up'!$C$4,$V100-4,0)&amp;"")</f>
        <v>Cendres + Metaux S.A.</v>
      </c>
      <c r="S100" s="222" t="str">
        <f t="shared" ca="1" si="12"/>
        <v>CH</v>
      </c>
      <c r="T100" s="222" t="str">
        <f ca="1">IF(B100="","",IF(ISERROR(MATCH($J100,SorP!$B$1:$B$6230,0)),"",INDIRECT("'SorP'!$A$"&amp;MATCH($J100,SorP!$B$1:$B$6230,0))))</f>
        <v>CH-BE</v>
      </c>
      <c r="U100" s="238"/>
      <c r="V100" s="270">
        <f>IF(C100="",NA(),MATCH($B100&amp;$C100,'Smelter Look-up'!$J:$J,0))</f>
        <v>46</v>
      </c>
      <c r="W100" s="271"/>
      <c r="X100" s="271">
        <f t="shared" si="13"/>
        <v>0</v>
      </c>
      <c r="Y100" s="271"/>
      <c r="Z100" s="271"/>
      <c r="AB100" s="273" t="str">
        <f t="shared" si="14"/>
        <v>GoldCendres + Metaux S.A.</v>
      </c>
    </row>
    <row r="101" spans="1:28" s="272" customFormat="1" ht="178.5">
      <c r="A101" s="215" t="s">
        <v>664</v>
      </c>
      <c r="B101" s="215" t="s">
        <v>1130</v>
      </c>
      <c r="C101" s="219" t="s">
        <v>2259</v>
      </c>
      <c r="D101" s="278" t="s">
        <v>2259</v>
      </c>
      <c r="E101" s="215" t="s">
        <v>1097</v>
      </c>
      <c r="F101" s="215" t="str">
        <f ca="1">IF(ISERROR($V101),"",OFFSET('Smelter Look-up'!$E$4,$V101-4,0))</f>
        <v>CID000185</v>
      </c>
      <c r="G101" s="215" t="str">
        <f ca="1">IF(C101=$X$4,"Enter smelter details",IF(ISERROR($V101),"",OFFSET('Smelter Look-up'!$F$4,$V101-4,0)))</f>
        <v>RMI</v>
      </c>
      <c r="H101" s="216" t="s">
        <v>15861</v>
      </c>
      <c r="I101" s="217" t="s">
        <v>1568</v>
      </c>
      <c r="J101" s="217" t="s">
        <v>1569</v>
      </c>
      <c r="K101" s="268"/>
      <c r="L101" s="268"/>
      <c r="M101" s="268"/>
      <c r="N101" s="268" t="s">
        <v>15862</v>
      </c>
      <c r="O101" s="268" t="s">
        <v>15863</v>
      </c>
      <c r="P101" s="218"/>
      <c r="Q101" s="269" t="s">
        <v>15609</v>
      </c>
      <c r="R101" s="215" t="str">
        <f ca="1">IF(ISERROR($V101),"",OFFSET('Smelter Look-up'!$C$4,$V101-4,0)&amp;"")</f>
        <v>CCR Refinery - Glencore Canada Corporation</v>
      </c>
      <c r="S101" s="222" t="str">
        <f t="shared" ca="1" si="12"/>
        <v>CA</v>
      </c>
      <c r="T101" s="222" t="str">
        <f ca="1">IF(B101="","",IF(ISERROR(MATCH($J101,SorP!$B$1:$B$6230,0)),"",INDIRECT("'SorP'!$A$"&amp;MATCH($J101,SorP!$B$1:$B$6230,0))))</f>
        <v>CA-QC</v>
      </c>
      <c r="U101" s="238"/>
      <c r="V101" s="270">
        <f>IF(C101="",NA(),MATCH($B101&amp;$C101,'Smelter Look-up'!$J:$J,0))</f>
        <v>44</v>
      </c>
      <c r="W101" s="271"/>
      <c r="X101" s="271">
        <f t="shared" si="13"/>
        <v>0</v>
      </c>
      <c r="Y101" s="271"/>
      <c r="Z101" s="271"/>
      <c r="AB101" s="273" t="str">
        <f t="shared" si="14"/>
        <v>GoldCCR Refinery - Glencore Canada Corporation</v>
      </c>
    </row>
    <row r="102" spans="1:28" s="272" customFormat="1" ht="153">
      <c r="A102" s="215" t="s">
        <v>662</v>
      </c>
      <c r="B102" s="215" t="s">
        <v>1130</v>
      </c>
      <c r="C102" s="219" t="s">
        <v>661</v>
      </c>
      <c r="D102" s="278" t="s">
        <v>661</v>
      </c>
      <c r="E102" s="215" t="s">
        <v>1101</v>
      </c>
      <c r="F102" s="215" t="str">
        <f ca="1">IF(ISERROR($V102),"",OFFSET('Smelter Look-up'!$E$4,$V102-4,0))</f>
        <v>CID000176</v>
      </c>
      <c r="G102" s="215" t="str">
        <f ca="1">IF(C102=$X$4,"Enter smelter details",IF(ISERROR($V102),"",OFFSET('Smelter Look-up'!$F$4,$V102-4,0)))</f>
        <v>RMI</v>
      </c>
      <c r="H102" s="216" t="s">
        <v>15834</v>
      </c>
      <c r="I102" s="217" t="s">
        <v>1549</v>
      </c>
      <c r="J102" s="217" t="s">
        <v>1550</v>
      </c>
      <c r="K102" s="268"/>
      <c r="L102" s="268"/>
      <c r="M102" s="268"/>
      <c r="N102" s="268" t="s">
        <v>15864</v>
      </c>
      <c r="O102" s="268" t="s">
        <v>15865</v>
      </c>
      <c r="P102" s="218"/>
      <c r="Q102" s="269" t="s">
        <v>15609</v>
      </c>
      <c r="R102" s="215" t="str">
        <f ca="1">IF(ISERROR($V102),"",OFFSET('Smelter Look-up'!$C$4,$V102-4,0)&amp;"")</f>
        <v>C. Hafner GmbH + Co. KG</v>
      </c>
      <c r="S102" s="222" t="str">
        <f t="shared" ref="S102:S132" ca="1" si="15">IF(B102="","",IF(ISERROR(MATCH($E102,CL,0)),"Unknown",INDIRECT("'C'!$A$"&amp;MATCH($E102,CL,0)+1)))</f>
        <v>DE</v>
      </c>
      <c r="T102" s="222" t="str">
        <f ca="1">IF(B102="","",IF(ISERROR(MATCH($J102,SorP!$B$1:$B$6230,0)),"",INDIRECT("'SorP'!$A$"&amp;MATCH($J102,SorP!$B$1:$B$6230,0))))</f>
        <v>DE-BW</v>
      </c>
      <c r="U102" s="238"/>
      <c r="V102" s="270">
        <f>IF(C102="",NA(),MATCH($B102&amp;$C102,'Smelter Look-up'!$J:$J,0))</f>
        <v>40</v>
      </c>
      <c r="W102" s="271"/>
      <c r="X102" s="271">
        <f t="shared" ref="X102:X132" si="16">IF(AND(C102="Smelter not listed",OR(LEN(D102)=0,LEN(E102)=0)),1,0)</f>
        <v>0</v>
      </c>
      <c r="Y102" s="271"/>
      <c r="Z102" s="271"/>
      <c r="AB102" s="273" t="str">
        <f t="shared" ref="AB102:AB132" si="17">B102&amp;C102</f>
        <v>GoldC. Hafner GmbH + Co. KG</v>
      </c>
    </row>
    <row r="103" spans="1:28" s="272" customFormat="1" ht="140.25">
      <c r="A103" s="215" t="s">
        <v>660</v>
      </c>
      <c r="B103" s="215" t="s">
        <v>1130</v>
      </c>
      <c r="C103" s="219" t="s">
        <v>1226</v>
      </c>
      <c r="D103" s="278" t="s">
        <v>1226</v>
      </c>
      <c r="E103" s="215" t="s">
        <v>887</v>
      </c>
      <c r="F103" s="215" t="str">
        <f ca="1">IF(ISERROR($V103),"",OFFSET('Smelter Look-up'!$E$4,$V103-4,0))</f>
        <v>CID000157</v>
      </c>
      <c r="G103" s="215" t="str">
        <f ca="1">IF(C103=$X$4,"Enter smelter details",IF(ISERROR($V103),"",OFFSET('Smelter Look-up'!$F$4,$V103-4,0)))</f>
        <v>RMI</v>
      </c>
      <c r="H103" s="216" t="s">
        <v>15866</v>
      </c>
      <c r="I103" s="217" t="s">
        <v>1565</v>
      </c>
      <c r="J103" s="217" t="s">
        <v>10485</v>
      </c>
      <c r="K103" s="268"/>
      <c r="L103" s="268"/>
      <c r="M103" s="268"/>
      <c r="N103" s="268" t="s">
        <v>15820</v>
      </c>
      <c r="O103" s="268" t="s">
        <v>15867</v>
      </c>
      <c r="P103" s="218"/>
      <c r="Q103" s="269" t="s">
        <v>15609</v>
      </c>
      <c r="R103" s="215" t="str">
        <f ca="1">IF(ISERROR($V103),"",OFFSET('Smelter Look-up'!$C$4,$V103-4,0)&amp;"")</f>
        <v>Boliden AB</v>
      </c>
      <c r="S103" s="222" t="str">
        <f t="shared" ca="1" si="15"/>
        <v>SE</v>
      </c>
      <c r="T103" s="222" t="str">
        <f ca="1">IF(B103="","",IF(ISERROR(MATCH($J103,SorP!$B$1:$B$6230,0)),"",INDIRECT("'SorP'!$A$"&amp;MATCH($J103,SorP!$B$1:$B$6230,0))))</f>
        <v>SE-AC</v>
      </c>
      <c r="U103" s="238"/>
      <c r="V103" s="270">
        <f>IF(C103="",NA(),MATCH($B103&amp;$C103,'Smelter Look-up'!$J:$J,0))</f>
        <v>39</v>
      </c>
      <c r="W103" s="271"/>
      <c r="X103" s="271">
        <f t="shared" si="16"/>
        <v>0</v>
      </c>
      <c r="Y103" s="271"/>
      <c r="Z103" s="271"/>
      <c r="AB103" s="273" t="str">
        <f t="shared" si="17"/>
        <v>GoldBoliden AB</v>
      </c>
    </row>
    <row r="104" spans="1:28" s="272" customFormat="1" ht="127.5">
      <c r="A104" s="215" t="s">
        <v>659</v>
      </c>
      <c r="B104" s="215" t="s">
        <v>1130</v>
      </c>
      <c r="C104" s="219" t="s">
        <v>904</v>
      </c>
      <c r="D104" s="278" t="s">
        <v>904</v>
      </c>
      <c r="E104" s="215" t="s">
        <v>881</v>
      </c>
      <c r="F104" s="215" t="str">
        <f ca="1">IF(ISERROR($V104),"",OFFSET('Smelter Look-up'!$E$4,$V104-4,0))</f>
        <v>CID000128</v>
      </c>
      <c r="G104" s="215" t="str">
        <f ca="1">IF(C104=$X$4,"Enter smelter details",IF(ISERROR($V104),"",OFFSET('Smelter Look-up'!$F$4,$V104-4,0)))</f>
        <v>RMI</v>
      </c>
      <c r="H104" s="216" t="s">
        <v>15868</v>
      </c>
      <c r="I104" s="217" t="s">
        <v>2218</v>
      </c>
      <c r="J104" s="217" t="s">
        <v>9655</v>
      </c>
      <c r="K104" s="268"/>
      <c r="L104" s="268"/>
      <c r="M104" s="268"/>
      <c r="N104" s="268" t="s">
        <v>15869</v>
      </c>
      <c r="O104" s="268" t="s">
        <v>15870</v>
      </c>
      <c r="P104" s="218"/>
      <c r="Q104" s="269" t="s">
        <v>15609</v>
      </c>
      <c r="R104" s="215" t="str">
        <f ca="1">IF(ISERROR($V104),"",OFFSET('Smelter Look-up'!$C$4,$V104-4,0)&amp;"")</f>
        <v>Bangko Sentral ng Pilipinas (Central Bank of the Philippines)</v>
      </c>
      <c r="S104" s="222" t="str">
        <f t="shared" ca="1" si="15"/>
        <v>PH</v>
      </c>
      <c r="T104" s="222" t="str">
        <f ca="1">IF(B104="","",IF(ISERROR(MATCH($J104,SorP!$B$1:$B$6230,0)),"",INDIRECT("'SorP'!$A$"&amp;MATCH($J104,SorP!$B$1:$B$6230,0))))</f>
        <v>PH-RIZ</v>
      </c>
      <c r="U104" s="238"/>
      <c r="V104" s="270">
        <f>IF(C104="",NA(),MATCH($B104&amp;$C104,'Smelter Look-up'!$J:$J,0))</f>
        <v>38</v>
      </c>
      <c r="W104" s="271"/>
      <c r="X104" s="271">
        <f t="shared" si="16"/>
        <v>0</v>
      </c>
      <c r="Y104" s="271"/>
      <c r="Z104" s="271"/>
      <c r="AB104" s="273" t="str">
        <f t="shared" si="17"/>
        <v>GoldBangko Sentral ng Pilipinas (Central Bank of the Philippines)</v>
      </c>
    </row>
    <row r="105" spans="1:28" s="272" customFormat="1" ht="191.25">
      <c r="A105" s="215" t="s">
        <v>658</v>
      </c>
      <c r="B105" s="215" t="s">
        <v>1130</v>
      </c>
      <c r="C105" s="219" t="s">
        <v>1224</v>
      </c>
      <c r="D105" s="278" t="s">
        <v>1224</v>
      </c>
      <c r="E105" s="215" t="s">
        <v>1101</v>
      </c>
      <c r="F105" s="215" t="str">
        <f ca="1">IF(ISERROR($V105),"",OFFSET('Smelter Look-up'!$E$4,$V105-4,0))</f>
        <v>CID000113</v>
      </c>
      <c r="G105" s="215" t="str">
        <f ca="1">IF(C105=$X$4,"Enter smelter details",IF(ISERROR($V105),"",OFFSET('Smelter Look-up'!$F$4,$V105-4,0)))</f>
        <v>RMI</v>
      </c>
      <c r="H105" s="216" t="s">
        <v>15871</v>
      </c>
      <c r="I105" s="217" t="s">
        <v>1563</v>
      </c>
      <c r="J105" s="217" t="s">
        <v>1563</v>
      </c>
      <c r="K105" s="268"/>
      <c r="L105" s="268"/>
      <c r="M105" s="268"/>
      <c r="N105" s="268" t="s">
        <v>15872</v>
      </c>
      <c r="O105" s="268" t="s">
        <v>15873</v>
      </c>
      <c r="P105" s="218"/>
      <c r="Q105" s="269" t="s">
        <v>15609</v>
      </c>
      <c r="R105" s="215" t="str">
        <f ca="1">IF(ISERROR($V105),"",OFFSET('Smelter Look-up'!$C$4,$V105-4,0)&amp;"")</f>
        <v>Aurubis AG</v>
      </c>
      <c r="S105" s="222" t="str">
        <f t="shared" ca="1" si="15"/>
        <v>DE</v>
      </c>
      <c r="T105" s="222" t="str">
        <f ca="1">IF(B105="","",IF(ISERROR(MATCH($J105,SorP!$B$1:$B$6230,0)),"",INDIRECT("'SorP'!$A$"&amp;MATCH($J105,SorP!$B$1:$B$6230,0))))</f>
        <v>DE-HH</v>
      </c>
      <c r="U105" s="238"/>
      <c r="V105" s="270">
        <f>IF(C105="",NA(),MATCH($B105&amp;$C105,'Smelter Look-up'!$J:$J,0))</f>
        <v>34</v>
      </c>
      <c r="W105" s="271"/>
      <c r="X105" s="271">
        <f t="shared" si="16"/>
        <v>0</v>
      </c>
      <c r="Y105" s="271"/>
      <c r="Z105" s="271"/>
      <c r="AB105" s="273" t="str">
        <f t="shared" si="17"/>
        <v>GoldAurubis AG</v>
      </c>
    </row>
    <row r="106" spans="1:28" s="272" customFormat="1" ht="216.75">
      <c r="A106" s="215" t="s">
        <v>656</v>
      </c>
      <c r="B106" s="215" t="s">
        <v>1130</v>
      </c>
      <c r="C106" s="219" t="s">
        <v>2157</v>
      </c>
      <c r="D106" s="278" t="s">
        <v>2157</v>
      </c>
      <c r="E106" s="215" t="s">
        <v>1108</v>
      </c>
      <c r="F106" s="215" t="str">
        <f ca="1">IF(ISERROR($V106),"",OFFSET('Smelter Look-up'!$E$4,$V106-4,0))</f>
        <v>CID000090</v>
      </c>
      <c r="G106" s="215" t="str">
        <f ca="1">IF(C106=$X$4,"Enter smelter details",IF(ISERROR($V106),"",OFFSET('Smelter Look-up'!$F$4,$V106-4,0)))</f>
        <v>RMI</v>
      </c>
      <c r="H106" s="216" t="s">
        <v>15874</v>
      </c>
      <c r="I106" s="217" t="s">
        <v>1560</v>
      </c>
      <c r="J106" s="217" t="s">
        <v>1561</v>
      </c>
      <c r="K106" s="268"/>
      <c r="L106" s="268"/>
      <c r="M106" s="268"/>
      <c r="N106" s="268" t="s">
        <v>15875</v>
      </c>
      <c r="O106" s="268" t="s">
        <v>15876</v>
      </c>
      <c r="P106" s="218"/>
      <c r="Q106" s="269" t="s">
        <v>15609</v>
      </c>
      <c r="R106" s="215" t="str">
        <f ca="1">IF(ISERROR($V106),"",OFFSET('Smelter Look-up'!$C$4,$V106-4,0)&amp;"")</f>
        <v>Asaka Riken Co., Ltd.</v>
      </c>
      <c r="S106" s="222" t="str">
        <f t="shared" ca="1" si="15"/>
        <v>JP</v>
      </c>
      <c r="T106" s="222" t="str">
        <f ca="1">IF(B106="","",IF(ISERROR(MATCH($J106,SorP!$B$1:$B$6230,0)),"",INDIRECT("'SorP'!$A$"&amp;MATCH($J106,SorP!$B$1:$B$6230,0))))</f>
        <v>JP-07</v>
      </c>
      <c r="U106" s="238"/>
      <c r="V106" s="270">
        <f>IF(C106="",NA(),MATCH($B106&amp;$C106,'Smelter Look-up'!$J:$J,0))</f>
        <v>29</v>
      </c>
      <c r="W106" s="271"/>
      <c r="X106" s="271">
        <f t="shared" si="16"/>
        <v>0</v>
      </c>
      <c r="Y106" s="271"/>
      <c r="Z106" s="271"/>
      <c r="AB106" s="273" t="str">
        <f t="shared" si="17"/>
        <v>GoldAsaka Riken Co., Ltd.</v>
      </c>
    </row>
    <row r="107" spans="1:28" s="272" customFormat="1" ht="165.75">
      <c r="A107" s="215" t="s">
        <v>655</v>
      </c>
      <c r="B107" s="215" t="s">
        <v>1130</v>
      </c>
      <c r="C107" s="219" t="s">
        <v>2310</v>
      </c>
      <c r="D107" s="278" t="s">
        <v>2310</v>
      </c>
      <c r="E107" s="215" t="s">
        <v>1108</v>
      </c>
      <c r="F107" s="215" t="str">
        <f ca="1">IF(ISERROR($V107),"",OFFSET('Smelter Look-up'!$E$4,$V107-4,0))</f>
        <v>CID000082</v>
      </c>
      <c r="G107" s="215" t="str">
        <f ca="1">IF(C107=$X$4,"Enter smelter details",IF(ISERROR($V107),"",OFFSET('Smelter Look-up'!$F$4,$V107-4,0)))</f>
        <v>RMI</v>
      </c>
      <c r="H107" s="216" t="s">
        <v>15877</v>
      </c>
      <c r="I107" s="217" t="s">
        <v>1557</v>
      </c>
      <c r="J107" s="217" t="s">
        <v>1558</v>
      </c>
      <c r="K107" s="268"/>
      <c r="L107" s="268"/>
      <c r="M107" s="268"/>
      <c r="N107" s="268" t="s">
        <v>15878</v>
      </c>
      <c r="O107" s="268" t="s">
        <v>15879</v>
      </c>
      <c r="P107" s="218"/>
      <c r="Q107" s="269" t="s">
        <v>15609</v>
      </c>
      <c r="R107" s="215" t="str">
        <f ca="1">IF(ISERROR($V107),"",OFFSET('Smelter Look-up'!$C$4,$V107-4,0)&amp;"")</f>
        <v>Asahi Pretec Corp.</v>
      </c>
      <c r="S107" s="222" t="str">
        <f t="shared" ca="1" si="15"/>
        <v>JP</v>
      </c>
      <c r="T107" s="222" t="str">
        <f ca="1">IF(B107="","",IF(ISERROR(MATCH($J107,SorP!$B$1:$B$6230,0)),"",INDIRECT("'SorP'!$A$"&amp;MATCH($J107,SorP!$B$1:$B$6230,0))))</f>
        <v>JP-28</v>
      </c>
      <c r="U107" s="238"/>
      <c r="V107" s="270">
        <f>IF(C107="",NA(),MATCH($B107&amp;$C107,'Smelter Look-up'!$J:$J,0))</f>
        <v>26</v>
      </c>
      <c r="W107" s="271"/>
      <c r="X107" s="271">
        <f t="shared" si="16"/>
        <v>0</v>
      </c>
      <c r="Y107" s="271"/>
      <c r="Z107" s="271"/>
      <c r="AB107" s="273" t="str">
        <f t="shared" si="17"/>
        <v>GoldAsahi Pretec Corp.</v>
      </c>
    </row>
    <row r="108" spans="1:28" s="272" customFormat="1" ht="165.75">
      <c r="A108" s="215" t="s">
        <v>654</v>
      </c>
      <c r="B108" s="215" t="s">
        <v>1130</v>
      </c>
      <c r="C108" s="219" t="s">
        <v>2309</v>
      </c>
      <c r="D108" s="278" t="s">
        <v>2309</v>
      </c>
      <c r="E108" s="215" t="s">
        <v>1098</v>
      </c>
      <c r="F108" s="215" t="str">
        <f ca="1">IF(ISERROR($V108),"",OFFSET('Smelter Look-up'!$E$4,$V108-4,0))</f>
        <v>CID000077</v>
      </c>
      <c r="G108" s="215" t="str">
        <f ca="1">IF(C108=$X$4,"Enter smelter details",IF(ISERROR($V108),"",OFFSET('Smelter Look-up'!$F$4,$V108-4,0)))</f>
        <v>RMI</v>
      </c>
      <c r="H108" s="216" t="s">
        <v>15880</v>
      </c>
      <c r="I108" s="217" t="s">
        <v>1555</v>
      </c>
      <c r="J108" s="217" t="s">
        <v>1556</v>
      </c>
      <c r="K108" s="268"/>
      <c r="L108" s="268"/>
      <c r="M108" s="268"/>
      <c r="N108" s="268" t="s">
        <v>15881</v>
      </c>
      <c r="O108" s="268" t="s">
        <v>15882</v>
      </c>
      <c r="P108" s="218"/>
      <c r="Q108" s="269" t="s">
        <v>15609</v>
      </c>
      <c r="R108" s="215" t="str">
        <f ca="1">IF(ISERROR($V108),"",OFFSET('Smelter Look-up'!$C$4,$V108-4,0)&amp;"")</f>
        <v>Argor-Heraeus S.A.</v>
      </c>
      <c r="S108" s="222" t="str">
        <f t="shared" ca="1" si="15"/>
        <v>CH</v>
      </c>
      <c r="T108" s="222" t="str">
        <f ca="1">IF(B108="","",IF(ISERROR(MATCH($J108,SorP!$B$1:$B$6230,0)),"",INDIRECT("'SorP'!$A$"&amp;MATCH($J108,SorP!$B$1:$B$6230,0))))</f>
        <v>CH-TI</v>
      </c>
      <c r="U108" s="238"/>
      <c r="V108" s="270">
        <f>IF(C108="",NA(),MATCH($B108&amp;$C108,'Smelter Look-up'!$J:$J,0))</f>
        <v>25</v>
      </c>
      <c r="W108" s="271"/>
      <c r="X108" s="271">
        <f t="shared" si="16"/>
        <v>0</v>
      </c>
      <c r="Y108" s="271"/>
      <c r="Z108" s="271"/>
      <c r="AB108" s="273" t="str">
        <f t="shared" si="17"/>
        <v>GoldArgor-Heraeus S.A.</v>
      </c>
    </row>
    <row r="109" spans="1:28" s="272" customFormat="1" ht="89.25">
      <c r="A109" s="215" t="s">
        <v>653</v>
      </c>
      <c r="B109" s="215" t="s">
        <v>1130</v>
      </c>
      <c r="C109" s="219" t="s">
        <v>12640</v>
      </c>
      <c r="D109" s="278" t="s">
        <v>12640</v>
      </c>
      <c r="E109" s="215" t="s">
        <v>1096</v>
      </c>
      <c r="F109" s="215" t="str">
        <f ca="1">IF(ISERROR($V109),"",OFFSET('Smelter Look-up'!$E$4,$V109-4,0))</f>
        <v>CID000058</v>
      </c>
      <c r="G109" s="215" t="str">
        <f ca="1">IF(C109=$X$4,"Enter smelter details",IF(ISERROR($V109),"",OFFSET('Smelter Look-up'!$F$4,$V109-4,0)))</f>
        <v>RMI</v>
      </c>
      <c r="H109" s="216" t="s">
        <v>15883</v>
      </c>
      <c r="I109" s="217" t="s">
        <v>1553</v>
      </c>
      <c r="J109" s="217" t="s">
        <v>1554</v>
      </c>
      <c r="K109" s="268"/>
      <c r="L109" s="268"/>
      <c r="M109" s="268"/>
      <c r="N109" s="268" t="s">
        <v>15884</v>
      </c>
      <c r="O109" s="268" t="s">
        <v>15885</v>
      </c>
      <c r="P109" s="218"/>
      <c r="Q109" s="269" t="s">
        <v>15609</v>
      </c>
      <c r="R109" s="215" t="str">
        <f ca="1">IF(ISERROR($V109),"",OFFSET('Smelter Look-up'!$C$4,$V109-4,0)&amp;"")</f>
        <v>AngloGold Ashanti Corrego do Sitio Mineracao</v>
      </c>
      <c r="S109" s="222" t="str">
        <f t="shared" ca="1" si="15"/>
        <v>BR</v>
      </c>
      <c r="T109" s="222" t="str">
        <f ca="1">IF(B109="","",IF(ISERROR(MATCH($J109,SorP!$B$1:$B$6230,0)),"",INDIRECT("'SorP'!$A$"&amp;MATCH($J109,SorP!$B$1:$B$6230,0))))</f>
        <v>BR-MG</v>
      </c>
      <c r="U109" s="238"/>
      <c r="V109" s="270">
        <f>IF(C109="",NA(),MATCH($B109&amp;$C109,'Smelter Look-up'!$J:$J,0))</f>
        <v>20</v>
      </c>
      <c r="W109" s="271"/>
      <c r="X109" s="271">
        <f t="shared" si="16"/>
        <v>0</v>
      </c>
      <c r="Y109" s="271"/>
      <c r="Z109" s="271"/>
      <c r="AB109" s="273" t="str">
        <f t="shared" si="17"/>
        <v>GoldAngloGold Ashanti Corrego do Sitio Mineracao</v>
      </c>
    </row>
    <row r="110" spans="1:28" s="272" customFormat="1" ht="140.25">
      <c r="A110" s="215" t="s">
        <v>652</v>
      </c>
      <c r="B110" s="215" t="s">
        <v>1130</v>
      </c>
      <c r="C110" s="219" t="s">
        <v>624</v>
      </c>
      <c r="D110" s="278" t="s">
        <v>624</v>
      </c>
      <c r="E110" s="215" t="s">
        <v>891</v>
      </c>
      <c r="F110" s="215" t="str">
        <f ca="1">IF(ISERROR($V110),"",OFFSET('Smelter Look-up'!$E$4,$V110-4,0))</f>
        <v>CID000041</v>
      </c>
      <c r="G110" s="215" t="str">
        <f ca="1">IF(C110=$X$4,"Enter smelter details",IF(ISERROR($V110),"",OFFSET('Smelter Look-up'!$F$4,$V110-4,0)))</f>
        <v>RMI</v>
      </c>
      <c r="H110" s="216" t="s">
        <v>15886</v>
      </c>
      <c r="I110" s="217" t="s">
        <v>1551</v>
      </c>
      <c r="J110" s="217" t="s">
        <v>12224</v>
      </c>
      <c r="K110" s="268"/>
      <c r="L110" s="268"/>
      <c r="M110" s="268"/>
      <c r="N110" s="268" t="s">
        <v>15887</v>
      </c>
      <c r="O110" s="268" t="s">
        <v>15888</v>
      </c>
      <c r="P110" s="218"/>
      <c r="Q110" s="269" t="s">
        <v>15609</v>
      </c>
      <c r="R110" s="215" t="str">
        <f ca="1">IF(ISERROR($V110),"",OFFSET('Smelter Look-up'!$C$4,$V110-4,0)&amp;"")</f>
        <v>Almalyk Mining and Metallurgical Complex (AMMC)</v>
      </c>
      <c r="S110" s="222" t="str">
        <f t="shared" ca="1" si="15"/>
        <v>UZ</v>
      </c>
      <c r="T110" s="222" t="str">
        <f ca="1">IF(B110="","",IF(ISERROR(MATCH($J110,SorP!$B$1:$B$6230,0)),"",INDIRECT("'SorP'!$A$"&amp;MATCH($J110,SorP!$B$1:$B$6230,0))))</f>
        <v>UZ-TK</v>
      </c>
      <c r="U110" s="238"/>
      <c r="V110" s="270">
        <f>IF(C110="",NA(),MATCH($B110&amp;$C110,'Smelter Look-up'!$J:$J,0))</f>
        <v>17</v>
      </c>
      <c r="W110" s="271"/>
      <c r="X110" s="271">
        <f t="shared" si="16"/>
        <v>0</v>
      </c>
      <c r="Y110" s="271"/>
      <c r="Z110" s="271"/>
      <c r="AB110" s="273" t="str">
        <f t="shared" si="17"/>
        <v>GoldAlmalyk Mining and Metallurgical Complex (AMMC)</v>
      </c>
    </row>
    <row r="111" spans="1:28" s="272" customFormat="1" ht="127.5">
      <c r="A111" s="215" t="s">
        <v>651</v>
      </c>
      <c r="B111" s="215" t="s">
        <v>1130</v>
      </c>
      <c r="C111" s="219" t="s">
        <v>52</v>
      </c>
      <c r="D111" s="278" t="s">
        <v>52</v>
      </c>
      <c r="E111" s="215" t="s">
        <v>1101</v>
      </c>
      <c r="F111" s="215" t="str">
        <f ca="1">IF(ISERROR($V111),"",OFFSET('Smelter Look-up'!$E$4,$V111-4,0))</f>
        <v>CID000035</v>
      </c>
      <c r="G111" s="215" t="str">
        <f ca="1">IF(C111=$X$4,"Enter smelter details",IF(ISERROR($V111),"",OFFSET('Smelter Look-up'!$F$4,$V111-4,0)))</f>
        <v>RMI</v>
      </c>
      <c r="H111" s="216" t="s">
        <v>15834</v>
      </c>
      <c r="I111" s="217" t="s">
        <v>1549</v>
      </c>
      <c r="J111" s="217" t="s">
        <v>1550</v>
      </c>
      <c r="K111" s="268"/>
      <c r="L111" s="268"/>
      <c r="M111" s="268"/>
      <c r="N111" s="268" t="s">
        <v>15889</v>
      </c>
      <c r="O111" s="268" t="s">
        <v>15890</v>
      </c>
      <c r="P111" s="218"/>
      <c r="Q111" s="269" t="s">
        <v>15609</v>
      </c>
      <c r="R111" s="215" t="str">
        <f ca="1">IF(ISERROR($V111),"",OFFSET('Smelter Look-up'!$C$4,$V111-4,0)&amp;"")</f>
        <v>Allgemeine Gold-und Silberscheideanstalt A.G.</v>
      </c>
      <c r="S111" s="222" t="str">
        <f t="shared" ca="1" si="15"/>
        <v>DE</v>
      </c>
      <c r="T111" s="222" t="str">
        <f ca="1">IF(B111="","",IF(ISERROR(MATCH($J111,SorP!$B$1:$B$6230,0)),"",INDIRECT("'SorP'!$A$"&amp;MATCH($J111,SorP!$B$1:$B$6230,0))))</f>
        <v>DE-BW</v>
      </c>
      <c r="U111" s="238"/>
      <c r="V111" s="270">
        <f>IF(C111="",NA(),MATCH($B111&amp;$C111,'Smelter Look-up'!$J:$J,0))</f>
        <v>16</v>
      </c>
      <c r="W111" s="271"/>
      <c r="X111" s="271">
        <f t="shared" si="16"/>
        <v>0</v>
      </c>
      <c r="Y111" s="271"/>
      <c r="Z111" s="271"/>
      <c r="AB111" s="273" t="str">
        <f t="shared" si="17"/>
        <v>GoldAllgemeine Gold-und Silberscheideanstalt A.G.</v>
      </c>
    </row>
    <row r="112" spans="1:28" s="272" customFormat="1" ht="178.5">
      <c r="A112" s="215" t="s">
        <v>650</v>
      </c>
      <c r="B112" s="215" t="s">
        <v>1130</v>
      </c>
      <c r="C112" s="219" t="s">
        <v>2156</v>
      </c>
      <c r="D112" s="278" t="s">
        <v>2156</v>
      </c>
      <c r="E112" s="215" t="s">
        <v>1108</v>
      </c>
      <c r="F112" s="215" t="str">
        <f ca="1">IF(ISERROR($V112),"",OFFSET('Smelter Look-up'!$E$4,$V112-4,0))</f>
        <v>CID000019</v>
      </c>
      <c r="G112" s="215" t="str">
        <f ca="1">IF(C112=$X$4,"Enter smelter details",IF(ISERROR($V112),"",OFFSET('Smelter Look-up'!$F$4,$V112-4,0)))</f>
        <v>RMI</v>
      </c>
      <c r="H112" s="216" t="s">
        <v>15891</v>
      </c>
      <c r="I112" s="217" t="s">
        <v>1547</v>
      </c>
      <c r="J112" s="217" t="s">
        <v>1548</v>
      </c>
      <c r="K112" s="268"/>
      <c r="L112" s="268"/>
      <c r="M112" s="268"/>
      <c r="N112" s="268" t="s">
        <v>15892</v>
      </c>
      <c r="O112" s="268" t="s">
        <v>15893</v>
      </c>
      <c r="P112" s="218"/>
      <c r="Q112" s="269" t="s">
        <v>15609</v>
      </c>
      <c r="R112" s="215" t="str">
        <f ca="1">IF(ISERROR($V112),"",OFFSET('Smelter Look-up'!$C$4,$V112-4,0)&amp;"")</f>
        <v>Aida Chemical Industries Co., Ltd.</v>
      </c>
      <c r="S112" s="222" t="str">
        <f t="shared" ca="1" si="15"/>
        <v>JP</v>
      </c>
      <c r="T112" s="222" t="str">
        <f ca="1">IF(B112="","",IF(ISERROR(MATCH($J112,SorP!$B$1:$B$6230,0)),"",INDIRECT("'SorP'!$A$"&amp;MATCH($J112,SorP!$B$1:$B$6230,0))))</f>
        <v>JP-13</v>
      </c>
      <c r="U112" s="238"/>
      <c r="V112" s="270">
        <f>IF(C112="",NA(),MATCH($B112&amp;$C112,'Smelter Look-up'!$J:$J,0))</f>
        <v>11</v>
      </c>
      <c r="W112" s="271"/>
      <c r="X112" s="271">
        <f t="shared" si="16"/>
        <v>0</v>
      </c>
      <c r="Y112" s="271"/>
      <c r="Z112" s="271"/>
      <c r="AB112" s="273" t="str">
        <f t="shared" si="17"/>
        <v>GoldAida Chemical Industries Co., Ltd.</v>
      </c>
    </row>
    <row r="113" spans="1:28" s="272" customFormat="1" ht="89.25">
      <c r="A113" s="215" t="s">
        <v>1385</v>
      </c>
      <c r="B113" s="215" t="s">
        <v>1130</v>
      </c>
      <c r="C113" s="219" t="s">
        <v>1384</v>
      </c>
      <c r="D113" s="278" t="s">
        <v>1384</v>
      </c>
      <c r="E113" s="215" t="s">
        <v>2463</v>
      </c>
      <c r="F113" s="215" t="str">
        <f ca="1">IF(ISERROR($V113),"",OFFSET('Smelter Look-up'!$E$4,$V113-4,0))</f>
        <v>CID000015</v>
      </c>
      <c r="G113" s="215" t="str">
        <f ca="1">IF(C113=$X$4,"Enter smelter details",IF(ISERROR($V113),"",OFFSET('Smelter Look-up'!$F$4,$V113-4,0)))</f>
        <v>RMI</v>
      </c>
      <c r="H113" s="216" t="s">
        <v>15663</v>
      </c>
      <c r="I113" s="217" t="s">
        <v>1545</v>
      </c>
      <c r="J113" s="217" t="s">
        <v>1546</v>
      </c>
      <c r="K113" s="268"/>
      <c r="L113" s="268"/>
      <c r="M113" s="268"/>
      <c r="N113" s="268" t="s">
        <v>15894</v>
      </c>
      <c r="O113" s="268" t="s">
        <v>15895</v>
      </c>
      <c r="P113" s="218"/>
      <c r="Q113" s="269" t="s">
        <v>15609</v>
      </c>
      <c r="R113" s="215" t="str">
        <f ca="1">IF(ISERROR($V113),"",OFFSET('Smelter Look-up'!$C$4,$V113-4,0)&amp;"")</f>
        <v>Advanced Chemical Company</v>
      </c>
      <c r="S113" s="222" t="str">
        <f t="shared" ca="1" si="15"/>
        <v>US</v>
      </c>
      <c r="T113" s="222" t="str">
        <f ca="1">IF(B113="","",IF(ISERROR(MATCH($J113,SorP!$B$1:$B$6230,0)),"",INDIRECT("'SorP'!$A$"&amp;MATCH($J113,SorP!$B$1:$B$6230,0))))</f>
        <v>US-RI</v>
      </c>
      <c r="U113" s="238"/>
      <c r="V113" s="270">
        <f>IF(C113="",NA(),MATCH($B113&amp;$C113,'Smelter Look-up'!$J:$J,0))</f>
        <v>7</v>
      </c>
      <c r="W113" s="271"/>
      <c r="X113" s="271">
        <f t="shared" si="16"/>
        <v>0</v>
      </c>
      <c r="Y113" s="271"/>
      <c r="Z113" s="271"/>
      <c r="AB113" s="273" t="str">
        <f t="shared" si="17"/>
        <v>GoldAdvanced Chemical Company</v>
      </c>
    </row>
    <row r="114" spans="1:28" s="272" customFormat="1" ht="102">
      <c r="A114" s="215" t="s">
        <v>2289</v>
      </c>
      <c r="B114" s="215" t="s">
        <v>1132</v>
      </c>
      <c r="C114" s="219" t="s">
        <v>2288</v>
      </c>
      <c r="D114" s="278" t="s">
        <v>2288</v>
      </c>
      <c r="E114" s="215" t="s">
        <v>1100</v>
      </c>
      <c r="F114" s="215" t="str">
        <f ca="1">IF(ISERROR($V114),"",OFFSET('Smelter Look-up'!$E$4,$V114-4,0))</f>
        <v>CID002842</v>
      </c>
      <c r="G114" s="215" t="str">
        <f ca="1">IF(C114=$X$4,"Enter smelter details",IF(ISERROR($V114),"",OFFSET('Smelter Look-up'!$F$4,$V114-4,0)))</f>
        <v>RMI</v>
      </c>
      <c r="H114" s="216" t="s">
        <v>15896</v>
      </c>
      <c r="I114" s="217" t="s">
        <v>15897</v>
      </c>
      <c r="J114" s="217" t="s">
        <v>13842</v>
      </c>
      <c r="K114" s="268"/>
      <c r="L114" s="268"/>
      <c r="M114" s="268"/>
      <c r="N114" s="268" t="s">
        <v>15898</v>
      </c>
      <c r="O114" s="268" t="s">
        <v>15899</v>
      </c>
      <c r="P114" s="218"/>
      <c r="Q114" s="269" t="s">
        <v>15609</v>
      </c>
      <c r="R114" s="215" t="str">
        <f ca="1">IF(ISERROR($V114),"",OFFSET('Smelter Look-up'!$C$4,$V114-4,0)&amp;"")</f>
        <v>Jiangxi Tuohong New Raw Material</v>
      </c>
      <c r="S114" s="222" t="str">
        <f t="shared" ca="1" si="15"/>
        <v>CN</v>
      </c>
      <c r="T114" s="222" t="str">
        <f ca="1">IF(B114="","",IF(ISERROR(MATCH($J114,SorP!$B$1:$B$6230,0)),"",INDIRECT("'SorP'!$A$"&amp;MATCH($J114,SorP!$B$1:$B$6230,0))))</f>
        <v>CN-JX</v>
      </c>
      <c r="U114" s="238"/>
      <c r="V114" s="270">
        <f>IF(C114="",NA(),MATCH($B114&amp;$C114,'Smelter Look-up'!$J:$J,0))</f>
        <v>334</v>
      </c>
      <c r="W114" s="271"/>
      <c r="X114" s="271">
        <f t="shared" si="16"/>
        <v>0</v>
      </c>
      <c r="Y114" s="271"/>
      <c r="Z114" s="271"/>
      <c r="AB114" s="273" t="str">
        <f t="shared" si="17"/>
        <v>TantalumJiangxi Tuohong New Raw Material</v>
      </c>
    </row>
    <row r="115" spans="1:28" s="272" customFormat="1" ht="76.5">
      <c r="A115" s="215" t="s">
        <v>1770</v>
      </c>
      <c r="B115" s="215" t="s">
        <v>1132</v>
      </c>
      <c r="C115" s="219" t="s">
        <v>12646</v>
      </c>
      <c r="D115" s="278" t="s">
        <v>12646</v>
      </c>
      <c r="E115" s="215" t="s">
        <v>1096</v>
      </c>
      <c r="F115" s="215" t="str">
        <f ca="1">IF(ISERROR($V115),"",OFFSET('Smelter Look-up'!$E$4,$V115-4,0))</f>
        <v>CID002707</v>
      </c>
      <c r="G115" s="215" t="str">
        <f ca="1">IF(C115=$X$4,"Enter smelter details",IF(ISERROR($V115),"",OFFSET('Smelter Look-up'!$F$4,$V115-4,0)))</f>
        <v>RMI</v>
      </c>
      <c r="H115" s="216" t="s">
        <v>15900</v>
      </c>
      <c r="I115" s="217" t="s">
        <v>15901</v>
      </c>
      <c r="J115" s="217" t="s">
        <v>1771</v>
      </c>
      <c r="K115" s="268"/>
      <c r="L115" s="268"/>
      <c r="M115" s="268"/>
      <c r="N115" s="268" t="s">
        <v>15612</v>
      </c>
      <c r="O115" s="268" t="s">
        <v>15902</v>
      </c>
      <c r="P115" s="218"/>
      <c r="Q115" s="269" t="s">
        <v>15609</v>
      </c>
      <c r="R115" s="215" t="str">
        <f ca="1">IF(ISERROR($V115),"",OFFSET('Smelter Look-up'!$C$4,$V115-4,0)&amp;"")</f>
        <v>Resind Industria e Comercio Ltda.</v>
      </c>
      <c r="S115" s="222" t="str">
        <f t="shared" ca="1" si="15"/>
        <v>BR</v>
      </c>
      <c r="T115" s="222" t="str">
        <f ca="1">IF(B115="","",IF(ISERROR(MATCH($J115,SorP!$B$1:$B$6230,0)),"",INDIRECT("'SorP'!$A$"&amp;MATCH($J115,SorP!$B$1:$B$6230,0))))</f>
        <v>BR-MG</v>
      </c>
      <c r="U115" s="238"/>
      <c r="V115" s="270">
        <f>IF(C115="",NA(),MATCH($B115&amp;$C115,'Smelter Look-up'!$J:$J,0))</f>
        <v>359</v>
      </c>
      <c r="W115" s="271"/>
      <c r="X115" s="271">
        <f t="shared" si="16"/>
        <v>0</v>
      </c>
      <c r="Y115" s="271"/>
      <c r="Z115" s="271"/>
      <c r="AB115" s="273" t="str">
        <f t="shared" si="17"/>
        <v>TantalumResind Industria e Comercio Ltda.</v>
      </c>
    </row>
    <row r="116" spans="1:28" s="272" customFormat="1" ht="204">
      <c r="A116" s="215" t="s">
        <v>1412</v>
      </c>
      <c r="B116" s="215" t="s">
        <v>1132</v>
      </c>
      <c r="C116" s="219" t="s">
        <v>1411</v>
      </c>
      <c r="D116" s="278" t="s">
        <v>1411</v>
      </c>
      <c r="E116" s="215" t="s">
        <v>1108</v>
      </c>
      <c r="F116" s="215" t="str">
        <f ca="1">IF(ISERROR($V116),"",OFFSET('Smelter Look-up'!$E$4,$V116-4,0))</f>
        <v>CID002558</v>
      </c>
      <c r="G116" s="215" t="str">
        <f ca="1">IF(C116=$X$4,"Enter smelter details",IF(ISERROR($V116),"",OFFSET('Smelter Look-up'!$F$4,$V116-4,0)))</f>
        <v>RMI</v>
      </c>
      <c r="H116" s="216" t="s">
        <v>15903</v>
      </c>
      <c r="I116" s="217" t="s">
        <v>1768</v>
      </c>
      <c r="J116" s="217" t="s">
        <v>1561</v>
      </c>
      <c r="K116" s="268"/>
      <c r="L116" s="268"/>
      <c r="M116" s="268"/>
      <c r="N116" s="268" t="s">
        <v>15904</v>
      </c>
      <c r="O116" s="268" t="s">
        <v>15905</v>
      </c>
      <c r="P116" s="218"/>
      <c r="Q116" s="269" t="s">
        <v>15609</v>
      </c>
      <c r="R116" s="215" t="str">
        <f ca="1">IF(ISERROR($V116),"",OFFSET('Smelter Look-up'!$C$4,$V116-4,0)&amp;"")</f>
        <v>Global Advanced Metals Aizu</v>
      </c>
      <c r="S116" s="222" t="str">
        <f t="shared" ca="1" si="15"/>
        <v>JP</v>
      </c>
      <c r="T116" s="222" t="str">
        <f ca="1">IF(B116="","",IF(ISERROR(MATCH($J116,SorP!$B$1:$B$6230,0)),"",INDIRECT("'SorP'!$A$"&amp;MATCH($J116,SorP!$B$1:$B$6230,0))))</f>
        <v>JP-07</v>
      </c>
      <c r="U116" s="238"/>
      <c r="V116" s="270">
        <f>IF(C116="",NA(),MATCH($B116&amp;$C116,'Smelter Look-up'!$J:$J,0))</f>
        <v>323</v>
      </c>
      <c r="W116" s="271"/>
      <c r="X116" s="271">
        <f t="shared" si="16"/>
        <v>0</v>
      </c>
      <c r="Y116" s="271"/>
      <c r="Z116" s="271"/>
      <c r="AB116" s="273" t="str">
        <f t="shared" si="17"/>
        <v>TantalumGlobal Advanced Metals Aizu</v>
      </c>
    </row>
    <row r="117" spans="1:28" s="272" customFormat="1" ht="280.5">
      <c r="A117" s="215" t="s">
        <v>1414</v>
      </c>
      <c r="B117" s="215" t="s">
        <v>1132</v>
      </c>
      <c r="C117" s="219" t="s">
        <v>1413</v>
      </c>
      <c r="D117" s="278" t="s">
        <v>1413</v>
      </c>
      <c r="E117" s="215" t="s">
        <v>2463</v>
      </c>
      <c r="F117" s="215" t="str">
        <f ca="1">IF(ISERROR($V117),"",OFFSET('Smelter Look-up'!$E$4,$V117-4,0))</f>
        <v>CID002557</v>
      </c>
      <c r="G117" s="215" t="str">
        <f ca="1">IF(C117=$X$4,"Enter smelter details",IF(ISERROR($V117),"",OFFSET('Smelter Look-up'!$F$4,$V117-4,0)))</f>
        <v>RMI</v>
      </c>
      <c r="H117" s="216" t="s">
        <v>15906</v>
      </c>
      <c r="I117" s="217" t="s">
        <v>1767</v>
      </c>
      <c r="J117" s="217" t="s">
        <v>1749</v>
      </c>
      <c r="K117" s="268"/>
      <c r="L117" s="268"/>
      <c r="M117" s="268"/>
      <c r="N117" s="268" t="s">
        <v>15907</v>
      </c>
      <c r="O117" s="268" t="s">
        <v>15908</v>
      </c>
      <c r="P117" s="218"/>
      <c r="Q117" s="269" t="s">
        <v>15609</v>
      </c>
      <c r="R117" s="215" t="str">
        <f ca="1">IF(ISERROR($V117),"",OFFSET('Smelter Look-up'!$C$4,$V117-4,0)&amp;"")</f>
        <v>Global Advanced Metals Boyertown</v>
      </c>
      <c r="S117" s="222" t="str">
        <f t="shared" ca="1" si="15"/>
        <v>US</v>
      </c>
      <c r="T117" s="222" t="str">
        <f ca="1">IF(B117="","",IF(ISERROR(MATCH($J117,SorP!$B$1:$B$6230,0)),"",INDIRECT("'SorP'!$A$"&amp;MATCH($J117,SorP!$B$1:$B$6230,0))))</f>
        <v>US-PA</v>
      </c>
      <c r="U117" s="238"/>
      <c r="V117" s="270">
        <f>IF(C117="",NA(),MATCH($B117&amp;$C117,'Smelter Look-up'!$J:$J,0))</f>
        <v>324</v>
      </c>
      <c r="W117" s="271"/>
      <c r="X117" s="271">
        <f t="shared" si="16"/>
        <v>0</v>
      </c>
      <c r="Y117" s="271"/>
      <c r="Z117" s="271"/>
      <c r="AB117" s="273" t="str">
        <f t="shared" si="17"/>
        <v>TantalumGlobal Advanced Metals Boyertown</v>
      </c>
    </row>
    <row r="118" spans="1:28" s="272" customFormat="1" ht="293.25">
      <c r="A118" s="215" t="s">
        <v>1424</v>
      </c>
      <c r="B118" s="215" t="s">
        <v>1132</v>
      </c>
      <c r="C118" s="219" t="s">
        <v>15361</v>
      </c>
      <c r="D118" s="278" t="s">
        <v>15361</v>
      </c>
      <c r="E118" s="215" t="s">
        <v>1101</v>
      </c>
      <c r="F118" s="215" t="str">
        <f ca="1">IF(ISERROR($V118),"",OFFSET('Smelter Look-up'!$E$4,$V118-4,0))</f>
        <v>CID002550</v>
      </c>
      <c r="G118" s="215" t="str">
        <f ca="1">IF(C118=$X$4,"Enter smelter details",IF(ISERROR($V118),"",OFFSET('Smelter Look-up'!$F$4,$V118-4,0)))</f>
        <v>RMI</v>
      </c>
      <c r="H118" s="216" t="s">
        <v>15909</v>
      </c>
      <c r="I118" s="217" t="s">
        <v>1762</v>
      </c>
      <c r="J118" s="217" t="s">
        <v>1550</v>
      </c>
      <c r="K118" s="268"/>
      <c r="L118" s="268"/>
      <c r="M118" s="268"/>
      <c r="N118" s="268" t="s">
        <v>15910</v>
      </c>
      <c r="O118" s="268" t="s">
        <v>15911</v>
      </c>
      <c r="P118" s="218"/>
      <c r="Q118" s="269" t="s">
        <v>15609</v>
      </c>
      <c r="R118" s="215" t="str">
        <f ca="1">IF(ISERROR($V118),"",OFFSET('Smelter Look-up'!$C$4,$V118-4,0)&amp;"")</f>
        <v>TANIOBIS Smelting GmbH &amp; Co. KG</v>
      </c>
      <c r="S118" s="222" t="str">
        <f t="shared" ca="1" si="15"/>
        <v>DE</v>
      </c>
      <c r="T118" s="222" t="str">
        <f ca="1">IF(B118="","",IF(ISERROR(MATCH($J118,SorP!$B$1:$B$6230,0)),"",INDIRECT("'SorP'!$A$"&amp;MATCH($J118,SorP!$B$1:$B$6230,0))))</f>
        <v>DE-BW</v>
      </c>
      <c r="U118" s="238"/>
      <c r="V118" s="270">
        <f>IF(C118="",NA(),MATCH($B118&amp;$C118,'Smelter Look-up'!$J:$J,0))</f>
        <v>371</v>
      </c>
      <c r="W118" s="271"/>
      <c r="X118" s="271">
        <f t="shared" si="16"/>
        <v>0</v>
      </c>
      <c r="Y118" s="271"/>
      <c r="Z118" s="271"/>
      <c r="AB118" s="273" t="str">
        <f t="shared" si="17"/>
        <v>TantalumTANIOBIS Smelting GmbH &amp; Co. KG</v>
      </c>
    </row>
    <row r="119" spans="1:28" s="272" customFormat="1" ht="267.75">
      <c r="A119" s="215" t="s">
        <v>1423</v>
      </c>
      <c r="B119" s="215" t="s">
        <v>1132</v>
      </c>
      <c r="C119" s="219" t="s">
        <v>15360</v>
      </c>
      <c r="D119" s="278" t="s">
        <v>15360</v>
      </c>
      <c r="E119" s="215" t="s">
        <v>1108</v>
      </c>
      <c r="F119" s="215" t="str">
        <f ca="1">IF(ISERROR($V119),"",OFFSET('Smelter Look-up'!$E$4,$V119-4,0))</f>
        <v>CID002549</v>
      </c>
      <c r="G119" s="215" t="str">
        <f ca="1">IF(C119=$X$4,"Enter smelter details",IF(ISERROR($V119),"",OFFSET('Smelter Look-up'!$F$4,$V119-4,0)))</f>
        <v>RMI</v>
      </c>
      <c r="H119" s="216" t="s">
        <v>15912</v>
      </c>
      <c r="I119" s="217" t="s">
        <v>1765</v>
      </c>
      <c r="J119" s="217" t="s">
        <v>1766</v>
      </c>
      <c r="K119" s="268"/>
      <c r="L119" s="268"/>
      <c r="M119" s="268"/>
      <c r="N119" s="268" t="s">
        <v>15913</v>
      </c>
      <c r="O119" s="268" t="s">
        <v>15914</v>
      </c>
      <c r="P119" s="218"/>
      <c r="Q119" s="269" t="s">
        <v>15609</v>
      </c>
      <c r="R119" s="215" t="str">
        <f ca="1">IF(ISERROR($V119),"",OFFSET('Smelter Look-up'!$C$4,$V119-4,0)&amp;"")</f>
        <v>TANIOBIS Japan Co., Ltd.</v>
      </c>
      <c r="S119" s="222" t="str">
        <f t="shared" ca="1" si="15"/>
        <v>JP</v>
      </c>
      <c r="T119" s="222" t="str">
        <f ca="1">IF(B119="","",IF(ISERROR(MATCH($J119,SorP!$B$1:$B$6230,0)),"",INDIRECT("'SorP'!$A$"&amp;MATCH($J119,SorP!$B$1:$B$6230,0))))</f>
        <v>JP-08</v>
      </c>
      <c r="U119" s="238"/>
      <c r="V119" s="270">
        <f>IF(C119="",NA(),MATCH($B119&amp;$C119,'Smelter Look-up'!$J:$J,0))</f>
        <v>370</v>
      </c>
      <c r="W119" s="271"/>
      <c r="X119" s="271">
        <f t="shared" si="16"/>
        <v>0</v>
      </c>
      <c r="Y119" s="271"/>
      <c r="Z119" s="271"/>
      <c r="AB119" s="273" t="str">
        <f t="shared" si="17"/>
        <v>TantalumTANIOBIS Japan Co., Ltd.</v>
      </c>
    </row>
    <row r="120" spans="1:28" s="272" customFormat="1" ht="344.25">
      <c r="A120" s="215" t="s">
        <v>1421</v>
      </c>
      <c r="B120" s="215" t="s">
        <v>1132</v>
      </c>
      <c r="C120" s="219" t="s">
        <v>1420</v>
      </c>
      <c r="D120" s="278" t="s">
        <v>1420</v>
      </c>
      <c r="E120" s="215" t="s">
        <v>2463</v>
      </c>
      <c r="F120" s="215" t="str">
        <f ca="1">IF(ISERROR($V120),"",OFFSET('Smelter Look-up'!$E$4,$V120-4,0))</f>
        <v>CID002548</v>
      </c>
      <c r="G120" s="215" t="str">
        <f ca="1">IF(C120=$X$4,"Enter smelter details",IF(ISERROR($V120),"",OFFSET('Smelter Look-up'!$F$4,$V120-4,0)))</f>
        <v>RMI</v>
      </c>
      <c r="H120" s="216" t="s">
        <v>15915</v>
      </c>
      <c r="I120" s="217" t="s">
        <v>1764</v>
      </c>
      <c r="J120" s="217" t="s">
        <v>1632</v>
      </c>
      <c r="K120" s="268"/>
      <c r="L120" s="268"/>
      <c r="M120" s="268"/>
      <c r="N120" s="268" t="s">
        <v>15916</v>
      </c>
      <c r="O120" s="268" t="s">
        <v>15917</v>
      </c>
      <c r="P120" s="218"/>
      <c r="Q120" s="269" t="s">
        <v>15609</v>
      </c>
      <c r="R120" s="215" t="str">
        <f ca="1">IF(ISERROR($V120),"",OFFSET('Smelter Look-up'!$C$4,$V120-4,0)&amp;"")</f>
        <v>H.C. Starck Inc.</v>
      </c>
      <c r="S120" s="222" t="str">
        <f t="shared" ca="1" si="15"/>
        <v>US</v>
      </c>
      <c r="T120" s="222" t="str">
        <f ca="1">IF(B120="","",IF(ISERROR(MATCH($J120,SorP!$B$1:$B$6230,0)),"",INDIRECT("'SorP'!$A$"&amp;MATCH($J120,SorP!$B$1:$B$6230,0))))</f>
        <v>US-MA</v>
      </c>
      <c r="U120" s="238"/>
      <c r="V120" s="270">
        <f>IF(C120="",NA(),MATCH($B120&amp;$C120,'Smelter Look-up'!$J:$J,0))</f>
        <v>328</v>
      </c>
      <c r="W120" s="271"/>
      <c r="X120" s="271">
        <f t="shared" si="16"/>
        <v>0</v>
      </c>
      <c r="Y120" s="271"/>
      <c r="Z120" s="271"/>
      <c r="AB120" s="273" t="str">
        <f t="shared" si="17"/>
        <v>TantalumH.C. Starck Inc.</v>
      </c>
    </row>
    <row r="121" spans="1:28" s="272" customFormat="1" ht="229.5">
      <c r="A121" s="215" t="s">
        <v>1419</v>
      </c>
      <c r="B121" s="215" t="s">
        <v>1132</v>
      </c>
      <c r="C121" s="219" t="s">
        <v>1418</v>
      </c>
      <c r="D121" s="278" t="s">
        <v>1418</v>
      </c>
      <c r="E121" s="215" t="s">
        <v>1101</v>
      </c>
      <c r="F121" s="215" t="str">
        <f ca="1">IF(ISERROR($V121),"",OFFSET('Smelter Look-up'!$E$4,$V121-4,0))</f>
        <v>CID002547</v>
      </c>
      <c r="G121" s="215" t="str">
        <f ca="1">IF(C121=$X$4,"Enter smelter details",IF(ISERROR($V121),"",OFFSET('Smelter Look-up'!$F$4,$V121-4,0)))</f>
        <v>RMI</v>
      </c>
      <c r="H121" s="216" t="s">
        <v>15918</v>
      </c>
      <c r="I121" s="217" t="s">
        <v>1763</v>
      </c>
      <c r="J121" s="217" t="s">
        <v>4262</v>
      </c>
      <c r="K121" s="268"/>
      <c r="L121" s="268"/>
      <c r="M121" s="268"/>
      <c r="N121" s="268" t="s">
        <v>15919</v>
      </c>
      <c r="O121" s="268" t="s">
        <v>15920</v>
      </c>
      <c r="P121" s="218"/>
      <c r="Q121" s="269" t="s">
        <v>15609</v>
      </c>
      <c r="R121" s="215" t="str">
        <f ca="1">IF(ISERROR($V121),"",OFFSET('Smelter Look-up'!$C$4,$V121-4,0)&amp;"")</f>
        <v>H.C. Starck Hermsdorf GmbH</v>
      </c>
      <c r="S121" s="222" t="str">
        <f t="shared" ca="1" si="15"/>
        <v>DE</v>
      </c>
      <c r="T121" s="222" t="str">
        <f ca="1">IF(B121="","",IF(ISERROR(MATCH($J121,SorP!$B$1:$B$6230,0)),"",INDIRECT("'SorP'!$A$"&amp;MATCH($J121,SorP!$B$1:$B$6230,0))))</f>
        <v>DE-TH</v>
      </c>
      <c r="U121" s="238"/>
      <c r="V121" s="270">
        <f>IF(C121="",NA(),MATCH($B121&amp;$C121,'Smelter Look-up'!$J:$J,0))</f>
        <v>327</v>
      </c>
      <c r="W121" s="271"/>
      <c r="X121" s="271">
        <f t="shared" si="16"/>
        <v>0</v>
      </c>
      <c r="Y121" s="271"/>
      <c r="Z121" s="271"/>
      <c r="AB121" s="273" t="str">
        <f t="shared" si="17"/>
        <v>TantalumH.C. Starck Hermsdorf GmbH</v>
      </c>
    </row>
    <row r="122" spans="1:28" s="272" customFormat="1" ht="344.25">
      <c r="A122" s="215" t="s">
        <v>1417</v>
      </c>
      <c r="B122" s="215" t="s">
        <v>1132</v>
      </c>
      <c r="C122" s="219" t="s">
        <v>15362</v>
      </c>
      <c r="D122" s="278" t="s">
        <v>15362</v>
      </c>
      <c r="E122" s="215" t="s">
        <v>1101</v>
      </c>
      <c r="F122" s="215" t="str">
        <f ca="1">IF(ISERROR($V122),"",OFFSET('Smelter Look-up'!$E$4,$V122-4,0))</f>
        <v>CID002545</v>
      </c>
      <c r="G122" s="215" t="str">
        <f ca="1">IF(C122=$X$4,"Enter smelter details",IF(ISERROR($V122),"",OFFSET('Smelter Look-up'!$F$4,$V122-4,0)))</f>
        <v>RMI</v>
      </c>
      <c r="H122" s="216" t="s">
        <v>15921</v>
      </c>
      <c r="I122" s="217" t="s">
        <v>1761</v>
      </c>
      <c r="J122" s="217" t="s">
        <v>4284</v>
      </c>
      <c r="K122" s="268"/>
      <c r="L122" s="268"/>
      <c r="M122" s="268"/>
      <c r="N122" s="268" t="s">
        <v>15910</v>
      </c>
      <c r="O122" s="268" t="s">
        <v>15922</v>
      </c>
      <c r="P122" s="218"/>
      <c r="Q122" s="269" t="s">
        <v>15609</v>
      </c>
      <c r="R122" s="215" t="str">
        <f ca="1">IF(ISERROR($V122),"",OFFSET('Smelter Look-up'!$C$4,$V122-4,0)&amp;"")</f>
        <v>TANIOBIS GmbH</v>
      </c>
      <c r="S122" s="222" t="str">
        <f t="shared" ca="1" si="15"/>
        <v>DE</v>
      </c>
      <c r="T122" s="222" t="str">
        <f ca="1">IF(B122="","",IF(ISERROR(MATCH($J122,SorP!$B$1:$B$6230,0)),"",INDIRECT("'SorP'!$A$"&amp;MATCH($J122,SorP!$B$1:$B$6230,0))))</f>
        <v>DE-NI</v>
      </c>
      <c r="U122" s="238"/>
      <c r="V122" s="270">
        <f>IF(C122="",NA(),MATCH($B122&amp;$C122,'Smelter Look-up'!$J:$J,0))</f>
        <v>369</v>
      </c>
      <c r="W122" s="271"/>
      <c r="X122" s="271">
        <f t="shared" si="16"/>
        <v>0</v>
      </c>
      <c r="Y122" s="271"/>
      <c r="Z122" s="271"/>
      <c r="AB122" s="273" t="str">
        <f t="shared" si="17"/>
        <v>TantalumTANIOBIS GmbH</v>
      </c>
    </row>
    <row r="123" spans="1:28" s="272" customFormat="1" ht="344.25">
      <c r="A123" s="215" t="s">
        <v>1416</v>
      </c>
      <c r="B123" s="215" t="s">
        <v>1132</v>
      </c>
      <c r="C123" s="219" t="s">
        <v>15359</v>
      </c>
      <c r="D123" s="278" t="s">
        <v>15359</v>
      </c>
      <c r="E123" s="215" t="s">
        <v>888</v>
      </c>
      <c r="F123" s="215" t="str">
        <f ca="1">IF(ISERROR($V123),"",OFFSET('Smelter Look-up'!$E$4,$V123-4,0))</f>
        <v>CID002544</v>
      </c>
      <c r="G123" s="215" t="str">
        <f ca="1">IF(C123=$X$4,"Enter smelter details",IF(ISERROR($V123),"",OFFSET('Smelter Look-up'!$F$4,$V123-4,0)))</f>
        <v>RMI</v>
      </c>
      <c r="H123" s="216" t="s">
        <v>15923</v>
      </c>
      <c r="I123" s="217" t="s">
        <v>1759</v>
      </c>
      <c r="J123" s="217" t="s">
        <v>1760</v>
      </c>
      <c r="K123" s="268"/>
      <c r="L123" s="268"/>
      <c r="M123" s="268"/>
      <c r="N123" s="268" t="s">
        <v>15924</v>
      </c>
      <c r="O123" s="268" t="s">
        <v>15925</v>
      </c>
      <c r="P123" s="218"/>
      <c r="Q123" s="269" t="s">
        <v>15609</v>
      </c>
      <c r="R123" s="215" t="str">
        <f ca="1">IF(ISERROR($V123),"",OFFSET('Smelter Look-up'!$C$4,$V123-4,0)&amp;"")</f>
        <v>TANIOBIS Co., Ltd.</v>
      </c>
      <c r="S123" s="222" t="str">
        <f t="shared" ca="1" si="15"/>
        <v>TH</v>
      </c>
      <c r="T123" s="222" t="str">
        <f ca="1">IF(B123="","",IF(ISERROR(MATCH($J123,SorP!$B$1:$B$6230,0)),"",INDIRECT("'SorP'!$A$"&amp;MATCH($J123,SorP!$B$1:$B$6230,0))))</f>
        <v>TH-21</v>
      </c>
      <c r="U123" s="238"/>
      <c r="V123" s="270">
        <f>IF(C123="",NA(),MATCH($B123&amp;$C123,'Smelter Look-up'!$J:$J,0))</f>
        <v>368</v>
      </c>
      <c r="W123" s="271"/>
      <c r="X123" s="271">
        <f t="shared" si="16"/>
        <v>0</v>
      </c>
      <c r="Y123" s="271"/>
      <c r="Z123" s="271"/>
      <c r="AB123" s="273" t="str">
        <f t="shared" si="17"/>
        <v>TantalumTANIOBIS Co., Ltd.</v>
      </c>
    </row>
    <row r="124" spans="1:28" s="272" customFormat="1" ht="178.5">
      <c r="A124" s="215" t="s">
        <v>1426</v>
      </c>
      <c r="B124" s="215" t="s">
        <v>1132</v>
      </c>
      <c r="C124" s="219" t="s">
        <v>15363</v>
      </c>
      <c r="D124" s="278" t="s">
        <v>15363</v>
      </c>
      <c r="E124" s="215" t="s">
        <v>1113</v>
      </c>
      <c r="F124" s="215" t="str">
        <f ca="1">IF(ISERROR($V124),"",OFFSET('Smelter Look-up'!$E$4,$V124-4,0))</f>
        <v>CID002539</v>
      </c>
      <c r="G124" s="215" t="str">
        <f ca="1">IF(C124=$X$4,"Enter smelter details",IF(ISERROR($V124),"",OFFSET('Smelter Look-up'!$F$4,$V124-4,0)))</f>
        <v>RMI</v>
      </c>
      <c r="H124" s="216" t="s">
        <v>15926</v>
      </c>
      <c r="I124" s="217" t="s">
        <v>1757</v>
      </c>
      <c r="J124" s="217" t="s">
        <v>1758</v>
      </c>
      <c r="K124" s="268"/>
      <c r="L124" s="268"/>
      <c r="M124" s="268"/>
      <c r="N124" s="268" t="s">
        <v>15927</v>
      </c>
      <c r="O124" s="268" t="s">
        <v>15928</v>
      </c>
      <c r="P124" s="218"/>
      <c r="Q124" s="269" t="s">
        <v>15609</v>
      </c>
      <c r="R124" s="215" t="str">
        <f ca="1">IF(ISERROR($V124),"",OFFSET('Smelter Look-up'!$C$4,$V124-4,0)&amp;"")</f>
        <v>KEMET de Mexico</v>
      </c>
      <c r="S124" s="222" t="str">
        <f t="shared" ca="1" si="15"/>
        <v>MX</v>
      </c>
      <c r="T124" s="222" t="str">
        <f ca="1">IF(B124="","",IF(ISERROR(MATCH($J124,SorP!$B$1:$B$6230,0)),"",INDIRECT("'SorP'!$A$"&amp;MATCH($J124,SorP!$B$1:$B$6230,0))))</f>
        <v>MX-TAM</v>
      </c>
      <c r="U124" s="238"/>
      <c r="V124" s="270">
        <f>IF(C124="",NA(),MATCH($B124&amp;$C124,'Smelter Look-up'!$J:$J,0))</f>
        <v>340</v>
      </c>
      <c r="W124" s="271"/>
      <c r="X124" s="271">
        <f t="shared" si="16"/>
        <v>0</v>
      </c>
      <c r="Y124" s="271"/>
      <c r="Z124" s="271"/>
      <c r="AB124" s="273" t="str">
        <f t="shared" si="17"/>
        <v>TantalumKEMET de Mexico</v>
      </c>
    </row>
    <row r="125" spans="1:28" s="272" customFormat="1" ht="102">
      <c r="A125" s="215" t="s">
        <v>1398</v>
      </c>
      <c r="B125" s="215" t="s">
        <v>1132</v>
      </c>
      <c r="C125" s="219" t="s">
        <v>2189</v>
      </c>
      <c r="D125" s="278" t="s">
        <v>2189</v>
      </c>
      <c r="E125" s="215" t="s">
        <v>1100</v>
      </c>
      <c r="F125" s="215" t="str">
        <f ca="1">IF(ISERROR($V125),"",OFFSET('Smelter Look-up'!$E$4,$V125-4,0))</f>
        <v>CID002512</v>
      </c>
      <c r="G125" s="215" t="str">
        <f ca="1">IF(C125=$X$4,"Enter smelter details",IF(ISERROR($V125),"",OFFSET('Smelter Look-up'!$F$4,$V125-4,0)))</f>
        <v>RMI</v>
      </c>
      <c r="H125" s="216" t="s">
        <v>15929</v>
      </c>
      <c r="I125" s="217" t="s">
        <v>1756</v>
      </c>
      <c r="J125" s="217" t="s">
        <v>13842</v>
      </c>
      <c r="K125" s="268"/>
      <c r="L125" s="268"/>
      <c r="M125" s="268"/>
      <c r="N125" s="268" t="s">
        <v>15612</v>
      </c>
      <c r="O125" s="268" t="s">
        <v>15930</v>
      </c>
      <c r="P125" s="218"/>
      <c r="Q125" s="269" t="s">
        <v>15609</v>
      </c>
      <c r="R125" s="215" t="str">
        <f ca="1">IF(ISERROR($V125),"",OFFSET('Smelter Look-up'!$C$4,$V125-4,0)&amp;"")</f>
        <v>Jiangxi Dinghai Tantalum &amp; Niobium Co., Ltd.</v>
      </c>
      <c r="S125" s="222" t="str">
        <f t="shared" ca="1" si="15"/>
        <v>CN</v>
      </c>
      <c r="T125" s="222" t="str">
        <f ca="1">IF(B125="","",IF(ISERROR(MATCH($J125,SorP!$B$1:$B$6230,0)),"",INDIRECT("'SorP'!$A$"&amp;MATCH($J125,SorP!$B$1:$B$6230,0))))</f>
        <v>CN-JX</v>
      </c>
      <c r="U125" s="238"/>
      <c r="V125" s="270">
        <f>IF(C125="",NA(),MATCH($B125&amp;$C125,'Smelter Look-up'!$J:$J,0))</f>
        <v>333</v>
      </c>
      <c r="W125" s="271"/>
      <c r="X125" s="271">
        <f t="shared" si="16"/>
        <v>0</v>
      </c>
      <c r="Y125" s="271"/>
      <c r="Z125" s="271"/>
      <c r="AB125" s="273" t="str">
        <f t="shared" si="17"/>
        <v>TantalumJiangxi Dinghai Tantalum &amp; Niobium Co., Ltd.</v>
      </c>
    </row>
    <row r="126" spans="1:28" s="272" customFormat="1" ht="127.5">
      <c r="A126" s="215" t="s">
        <v>1400</v>
      </c>
      <c r="B126" s="215" t="s">
        <v>1132</v>
      </c>
      <c r="C126" s="219" t="s">
        <v>2187</v>
      </c>
      <c r="D126" s="278" t="s">
        <v>2187</v>
      </c>
      <c r="E126" s="215" t="s">
        <v>1100</v>
      </c>
      <c r="F126" s="215" t="str">
        <f ca="1">IF(ISERROR($V126),"",OFFSET('Smelter Look-up'!$E$4,$V126-4,0))</f>
        <v>CID002508</v>
      </c>
      <c r="G126" s="215" t="str">
        <f ca="1">IF(C126=$X$4,"Enter smelter details",IF(ISERROR($V126),"",OFFSET('Smelter Look-up'!$F$4,$V126-4,0)))</f>
        <v>RMI</v>
      </c>
      <c r="H126" s="216" t="s">
        <v>15931</v>
      </c>
      <c r="I126" s="217" t="s">
        <v>1755</v>
      </c>
      <c r="J126" s="217" t="s">
        <v>13847</v>
      </c>
      <c r="K126" s="268"/>
      <c r="L126" s="268"/>
      <c r="M126" s="268"/>
      <c r="N126" s="268" t="s">
        <v>15655</v>
      </c>
      <c r="O126" s="268" t="s">
        <v>15932</v>
      </c>
      <c r="P126" s="218"/>
      <c r="Q126" s="269" t="s">
        <v>15609</v>
      </c>
      <c r="R126" s="215" t="str">
        <f ca="1">IF(ISERROR($V126),"",OFFSET('Smelter Look-up'!$C$4,$V126-4,0)&amp;"")</f>
        <v>XinXing HaoRong Electronic Material Co., Ltd.</v>
      </c>
      <c r="S126" s="222" t="str">
        <f t="shared" ca="1" si="15"/>
        <v>CN</v>
      </c>
      <c r="T126" s="222" t="str">
        <f ca="1">IF(B126="","",IF(ISERROR(MATCH($J126,SorP!$B$1:$B$6230,0)),"",INDIRECT("'SorP'!$A$"&amp;MATCH($J126,SorP!$B$1:$B$6230,0))))</f>
        <v>CN-GD</v>
      </c>
      <c r="U126" s="238"/>
      <c r="V126" s="270">
        <f>IF(C126="",NA(),MATCH($B126&amp;$C126,'Smelter Look-up'!$J:$J,0))</f>
        <v>376</v>
      </c>
      <c r="W126" s="271"/>
      <c r="X126" s="271">
        <f t="shared" si="16"/>
        <v>0</v>
      </c>
      <c r="Y126" s="271"/>
      <c r="Z126" s="271"/>
      <c r="AB126" s="273" t="str">
        <f t="shared" si="17"/>
        <v>TantalumXinXing HaoRong Electronic Material Co., Ltd.</v>
      </c>
    </row>
    <row r="127" spans="1:28" s="272" customFormat="1" ht="165.75">
      <c r="A127" s="215" t="s">
        <v>1399</v>
      </c>
      <c r="B127" s="215" t="s">
        <v>1132</v>
      </c>
      <c r="C127" s="219" t="s">
        <v>2186</v>
      </c>
      <c r="D127" s="278" t="s">
        <v>2186</v>
      </c>
      <c r="E127" s="215" t="s">
        <v>1100</v>
      </c>
      <c r="F127" s="215" t="str">
        <f ca="1">IF(ISERROR($V127),"",OFFSET('Smelter Look-up'!$E$4,$V127-4,0))</f>
        <v>CID002506</v>
      </c>
      <c r="G127" s="215" t="str">
        <f ca="1">IF(C127=$X$4,"Enter smelter details",IF(ISERROR($V127),"",OFFSET('Smelter Look-up'!$F$4,$V127-4,0)))</f>
        <v>RMI</v>
      </c>
      <c r="H127" s="216" t="s">
        <v>15933</v>
      </c>
      <c r="I127" s="217" t="s">
        <v>1731</v>
      </c>
      <c r="J127" s="217" t="s">
        <v>13842</v>
      </c>
      <c r="K127" s="268"/>
      <c r="L127" s="268"/>
      <c r="M127" s="268"/>
      <c r="N127" s="268" t="s">
        <v>15934</v>
      </c>
      <c r="O127" s="268" t="s">
        <v>15935</v>
      </c>
      <c r="P127" s="218"/>
      <c r="Q127" s="269" t="s">
        <v>15609</v>
      </c>
      <c r="R127" s="215" t="str">
        <f ca="1">IF(ISERROR($V127),"",OFFSET('Smelter Look-up'!$C$4,$V127-4,0)&amp;"")</f>
        <v>Jiujiang Zhongao Tantalum &amp; Niobium Co., Ltd.</v>
      </c>
      <c r="S127" s="222" t="str">
        <f t="shared" ca="1" si="15"/>
        <v>CN</v>
      </c>
      <c r="T127" s="222" t="str">
        <f ca="1">IF(B127="","",IF(ISERROR(MATCH($J127,SorP!$B$1:$B$6230,0)),"",INDIRECT("'SorP'!$A$"&amp;MATCH($J127,SorP!$B$1:$B$6230,0))))</f>
        <v>CN-JX</v>
      </c>
      <c r="U127" s="238"/>
      <c r="V127" s="270">
        <f>IF(C127="",NA(),MATCH($B127&amp;$C127,'Smelter Look-up'!$J:$J,0))</f>
        <v>338</v>
      </c>
      <c r="W127" s="271"/>
      <c r="X127" s="271">
        <f t="shared" si="16"/>
        <v>0</v>
      </c>
      <c r="Y127" s="271"/>
      <c r="Z127" s="271"/>
      <c r="AB127" s="273" t="str">
        <f t="shared" si="17"/>
        <v>TantalumJiujiang Zhongao Tantalum &amp; Niobium Co., Ltd.</v>
      </c>
    </row>
    <row r="128" spans="1:28" s="272" customFormat="1" ht="165.75">
      <c r="A128" s="215" t="s">
        <v>1397</v>
      </c>
      <c r="B128" s="215" t="s">
        <v>1132</v>
      </c>
      <c r="C128" s="219" t="s">
        <v>2185</v>
      </c>
      <c r="D128" s="278" t="s">
        <v>2185</v>
      </c>
      <c r="E128" s="215" t="s">
        <v>1100</v>
      </c>
      <c r="F128" s="215" t="str">
        <f ca="1">IF(ISERROR($V128),"",OFFSET('Smelter Look-up'!$E$4,$V128-4,0))</f>
        <v>CID002505</v>
      </c>
      <c r="G128" s="215" t="str">
        <f ca="1">IF(C128=$X$4,"Enter smelter details",IF(ISERROR($V128),"",OFFSET('Smelter Look-up'!$F$4,$V128-4,0)))</f>
        <v>RMI</v>
      </c>
      <c r="H128" s="216" t="s">
        <v>15936</v>
      </c>
      <c r="I128" s="217" t="s">
        <v>1744</v>
      </c>
      <c r="J128" s="217" t="s">
        <v>13846</v>
      </c>
      <c r="K128" s="268"/>
      <c r="L128" s="268"/>
      <c r="M128" s="268"/>
      <c r="N128" s="268" t="s">
        <v>15937</v>
      </c>
      <c r="O128" s="268" t="s">
        <v>15938</v>
      </c>
      <c r="P128" s="218"/>
      <c r="Q128" s="269" t="s">
        <v>15609</v>
      </c>
      <c r="R128" s="215" t="str">
        <f ca="1">IF(ISERROR($V128),"",OFFSET('Smelter Look-up'!$C$4,$V128-4,0)&amp;"")</f>
        <v>FIR Metals &amp; Resource Ltd.</v>
      </c>
      <c r="S128" s="222" t="str">
        <f t="shared" ca="1" si="15"/>
        <v>CN</v>
      </c>
      <c r="T128" s="222" t="str">
        <f ca="1">IF(B128="","",IF(ISERROR(MATCH($J128,SorP!$B$1:$B$6230,0)),"",INDIRECT("'SorP'!$A$"&amp;MATCH($J128,SorP!$B$1:$B$6230,0))))</f>
        <v>CN-HN</v>
      </c>
      <c r="U128" s="238"/>
      <c r="V128" s="270">
        <f>IF(C128="",NA(),MATCH($B128&amp;$C128,'Smelter Look-up'!$J:$J,0))</f>
        <v>322</v>
      </c>
      <c r="W128" s="271"/>
      <c r="X128" s="271">
        <f t="shared" si="16"/>
        <v>0</v>
      </c>
      <c r="Y128" s="271"/>
      <c r="Z128" s="271"/>
      <c r="AB128" s="273" t="str">
        <f t="shared" si="17"/>
        <v>TantalumFIR Metals &amp; Resource Ltd.</v>
      </c>
    </row>
    <row r="129" spans="1:28" s="272" customFormat="1" ht="140.25">
      <c r="A129" s="215" t="s">
        <v>1396</v>
      </c>
      <c r="B129" s="215" t="s">
        <v>1132</v>
      </c>
      <c r="C129" s="219" t="s">
        <v>1395</v>
      </c>
      <c r="D129" s="278" t="s">
        <v>1395</v>
      </c>
      <c r="E129" s="215" t="s">
        <v>2463</v>
      </c>
      <c r="F129" s="215" t="str">
        <f ca="1">IF(ISERROR($V129),"",OFFSET('Smelter Look-up'!$E$4,$V129-4,0))</f>
        <v>CID002504</v>
      </c>
      <c r="G129" s="215" t="str">
        <f ca="1">IF(C129=$X$4,"Enter smelter details",IF(ISERROR($V129),"",OFFSET('Smelter Look-up'!$F$4,$V129-4,0)))</f>
        <v>RMI</v>
      </c>
      <c r="H129" s="216" t="s">
        <v>15939</v>
      </c>
      <c r="I129" s="217" t="s">
        <v>1753</v>
      </c>
      <c r="J129" s="217" t="s">
        <v>1754</v>
      </c>
      <c r="K129" s="268"/>
      <c r="L129" s="268"/>
      <c r="M129" s="268"/>
      <c r="N129" s="268" t="s">
        <v>15940</v>
      </c>
      <c r="O129" s="268" t="s">
        <v>15941</v>
      </c>
      <c r="P129" s="218"/>
      <c r="Q129" s="269" t="s">
        <v>15609</v>
      </c>
      <c r="R129" s="215" t="str">
        <f ca="1">IF(ISERROR($V129),"",OFFSET('Smelter Look-up'!$C$4,$V129-4,0)&amp;"")</f>
        <v>D Block Metals, LLC</v>
      </c>
      <c r="S129" s="222" t="str">
        <f t="shared" ca="1" si="15"/>
        <v>US</v>
      </c>
      <c r="T129" s="222" t="str">
        <f ca="1">IF(B129="","",IF(ISERROR(MATCH($J129,SorP!$B$1:$B$6230,0)),"",INDIRECT("'SorP'!$A$"&amp;MATCH($J129,SorP!$B$1:$B$6230,0))))</f>
        <v>US-NC</v>
      </c>
      <c r="U129" s="238"/>
      <c r="V129" s="270">
        <f>IF(C129="",NA(),MATCH($B129&amp;$C129,'Smelter Look-up'!$J:$J,0))</f>
        <v>318</v>
      </c>
      <c r="W129" s="271"/>
      <c r="X129" s="271">
        <f t="shared" si="16"/>
        <v>0</v>
      </c>
      <c r="Y129" s="271"/>
      <c r="Z129" s="271"/>
      <c r="AB129" s="273" t="str">
        <f t="shared" si="17"/>
        <v>TantalumD Block Metals, LLC</v>
      </c>
    </row>
    <row r="130" spans="1:28" s="272" customFormat="1" ht="191.25">
      <c r="A130" s="215" t="s">
        <v>396</v>
      </c>
      <c r="B130" s="215" t="s">
        <v>1132</v>
      </c>
      <c r="C130" s="219" t="s">
        <v>3</v>
      </c>
      <c r="D130" s="278" t="s">
        <v>3</v>
      </c>
      <c r="E130" s="215" t="s">
        <v>1100</v>
      </c>
      <c r="F130" s="215" t="str">
        <f ca="1">IF(ISERROR($V130),"",OFFSET('Smelter Look-up'!$E$4,$V130-4,0))</f>
        <v>CID002492</v>
      </c>
      <c r="G130" s="215" t="str">
        <f ca="1">IF(C130=$X$4,"Enter smelter details",IF(ISERROR($V130),"",OFFSET('Smelter Look-up'!$F$4,$V130-4,0)))</f>
        <v>RMI</v>
      </c>
      <c r="H130" s="216" t="s">
        <v>15942</v>
      </c>
      <c r="I130" s="217" t="s">
        <v>1752</v>
      </c>
      <c r="J130" s="217" t="s">
        <v>13846</v>
      </c>
      <c r="K130" s="268"/>
      <c r="L130" s="268"/>
      <c r="M130" s="268"/>
      <c r="N130" s="268" t="s">
        <v>15943</v>
      </c>
      <c r="O130" s="268" t="s">
        <v>15944</v>
      </c>
      <c r="P130" s="218"/>
      <c r="Q130" s="269" t="s">
        <v>15609</v>
      </c>
      <c r="R130" s="215" t="str">
        <f ca="1">IF(ISERROR($V130),"",OFFSET('Smelter Look-up'!$C$4,$V130-4,0)&amp;"")</f>
        <v>Hengyang King Xing Lifeng New Materials Co., Ltd.</v>
      </c>
      <c r="S130" s="222" t="str">
        <f t="shared" ca="1" si="15"/>
        <v>CN</v>
      </c>
      <c r="T130" s="222" t="str">
        <f ca="1">IF(B130="","",IF(ISERROR(MATCH($J130,SorP!$B$1:$B$6230,0)),"",INDIRECT("'SorP'!$A$"&amp;MATCH($J130,SorP!$B$1:$B$6230,0))))</f>
        <v>CN-HN</v>
      </c>
      <c r="U130" s="238"/>
      <c r="V130" s="270">
        <f>IF(C130="",NA(),MATCH($B130&amp;$C130,'Smelter Look-up'!$J:$J,0))</f>
        <v>332</v>
      </c>
      <c r="W130" s="271"/>
      <c r="X130" s="271">
        <f t="shared" si="16"/>
        <v>0</v>
      </c>
      <c r="Y130" s="271"/>
      <c r="Z130" s="271"/>
      <c r="AB130" s="273" t="str">
        <f t="shared" si="17"/>
        <v>TantalumHengyang King Xing Lifeng New Materials Co., Ltd.</v>
      </c>
    </row>
    <row r="131" spans="1:28" s="272" customFormat="1" ht="409.5">
      <c r="A131" s="215" t="s">
        <v>765</v>
      </c>
      <c r="B131" s="215" t="s">
        <v>1132</v>
      </c>
      <c r="C131" s="219" t="s">
        <v>1750</v>
      </c>
      <c r="D131" s="278" t="s">
        <v>1750</v>
      </c>
      <c r="E131" s="215" t="s">
        <v>1109</v>
      </c>
      <c r="F131" s="215" t="str">
        <f ca="1">IF(ISERROR($V131),"",OFFSET('Smelter Look-up'!$E$4,$V131-4,0))</f>
        <v>CID001969</v>
      </c>
      <c r="G131" s="215" t="str">
        <f ca="1">IF(C131=$X$4,"Enter smelter details",IF(ISERROR($V131),"",OFFSET('Smelter Look-up'!$F$4,$V131-4,0)))</f>
        <v>RMI</v>
      </c>
      <c r="H131" s="216" t="s">
        <v>15801</v>
      </c>
      <c r="I131" s="217" t="s">
        <v>1613</v>
      </c>
      <c r="J131" s="217" t="s">
        <v>7164</v>
      </c>
      <c r="K131" s="268"/>
      <c r="L131" s="268"/>
      <c r="M131" s="268"/>
      <c r="N131" s="268" t="s">
        <v>15945</v>
      </c>
      <c r="O131" s="268" t="s">
        <v>15946</v>
      </c>
      <c r="P131" s="218"/>
      <c r="Q131" s="269" t="s">
        <v>15609</v>
      </c>
      <c r="R131" s="215" t="str">
        <f ca="1">IF(ISERROR($V131),"",OFFSET('Smelter Look-up'!$C$4,$V131-4,0)&amp;"")</f>
        <v>Ulba Metallurgical Plant JSC</v>
      </c>
      <c r="S131" s="222" t="str">
        <f t="shared" ca="1" si="15"/>
        <v>KZ</v>
      </c>
      <c r="T131" s="222" t="str">
        <f ca="1">IF(B131="","",IF(ISERROR(MATCH($J131,SorP!$B$1:$B$6230,0)),"",INDIRECT("'SorP'!$A$"&amp;MATCH($J131,SorP!$B$1:$B$6230,0))))</f>
        <v>KZ-KAR</v>
      </c>
      <c r="U131" s="238"/>
      <c r="V131" s="270">
        <f>IF(C131="",NA(),MATCH($B131&amp;$C131,'Smelter Look-up'!$J:$J,0))</f>
        <v>374</v>
      </c>
      <c r="W131" s="271"/>
      <c r="X131" s="271">
        <f t="shared" si="16"/>
        <v>0</v>
      </c>
      <c r="Y131" s="271"/>
      <c r="Z131" s="271"/>
      <c r="AB131" s="273" t="str">
        <f t="shared" si="17"/>
        <v>TantalumUlba Metallurgical Plant JSC</v>
      </c>
    </row>
    <row r="132" spans="1:28" s="272" customFormat="1" ht="204">
      <c r="A132" s="215" t="s">
        <v>764</v>
      </c>
      <c r="B132" s="215" t="s">
        <v>1132</v>
      </c>
      <c r="C132" s="219" t="s">
        <v>1747</v>
      </c>
      <c r="D132" s="278" t="s">
        <v>1747</v>
      </c>
      <c r="E132" s="215" t="s">
        <v>2463</v>
      </c>
      <c r="F132" s="215" t="str">
        <f ca="1">IF(ISERROR($V132),"",OFFSET('Smelter Look-up'!$E$4,$V132-4,0))</f>
        <v>CID001891</v>
      </c>
      <c r="G132" s="215" t="str">
        <f ca="1">IF(C132=$X$4,"Enter smelter details",IF(ISERROR($V132),"",OFFSET('Smelter Look-up'!$F$4,$V132-4,0)))</f>
        <v>RMI</v>
      </c>
      <c r="H132" s="216" t="s">
        <v>15947</v>
      </c>
      <c r="I132" s="217" t="s">
        <v>1748</v>
      </c>
      <c r="J132" s="217" t="s">
        <v>1749</v>
      </c>
      <c r="K132" s="268"/>
      <c r="L132" s="268"/>
      <c r="M132" s="268"/>
      <c r="N132" s="268" t="s">
        <v>15948</v>
      </c>
      <c r="O132" s="268" t="s">
        <v>15949</v>
      </c>
      <c r="P132" s="218"/>
      <c r="Q132" s="269" t="s">
        <v>15609</v>
      </c>
      <c r="R132" s="215" t="str">
        <f ca="1">IF(ISERROR($V132),"",OFFSET('Smelter Look-up'!$C$4,$V132-4,0)&amp;"")</f>
        <v>Telex Metals</v>
      </c>
      <c r="S132" s="222" t="str">
        <f t="shared" ca="1" si="15"/>
        <v>US</v>
      </c>
      <c r="T132" s="222" t="str">
        <f ca="1">IF(B132="","",IF(ISERROR(MATCH($J132,SorP!$B$1:$B$6230,0)),"",INDIRECT("'SorP'!$A$"&amp;MATCH($J132,SorP!$B$1:$B$6230,0))))</f>
        <v>US-PA</v>
      </c>
      <c r="U132" s="238"/>
      <c r="V132" s="270">
        <f>IF(C132="",NA(),MATCH($B132&amp;$C132,'Smelter Look-up'!$J:$J,0))</f>
        <v>372</v>
      </c>
      <c r="W132" s="271"/>
      <c r="X132" s="271">
        <f t="shared" si="16"/>
        <v>0</v>
      </c>
      <c r="Y132" s="271"/>
      <c r="Z132" s="271"/>
      <c r="AB132" s="273" t="str">
        <f t="shared" si="17"/>
        <v>TantalumTelex Metals</v>
      </c>
    </row>
    <row r="133" spans="1:28" s="272" customFormat="1" ht="153">
      <c r="A133" s="215" t="s">
        <v>763</v>
      </c>
      <c r="B133" s="215" t="s">
        <v>1132</v>
      </c>
      <c r="C133" s="219" t="s">
        <v>2476</v>
      </c>
      <c r="D133" s="278" t="s">
        <v>2476</v>
      </c>
      <c r="E133" s="215" t="s">
        <v>1108</v>
      </c>
      <c r="F133" s="215" t="str">
        <f ca="1">IF(ISERROR($V133),"",OFFSET('Smelter Look-up'!$E$4,$V133-4,0))</f>
        <v>CID001869</v>
      </c>
      <c r="G133" s="215" t="str">
        <f ca="1">IF(C133=$X$4,"Enter smelter details",IF(ISERROR($V133),"",OFFSET('Smelter Look-up'!$F$4,$V133-4,0)))</f>
        <v>RMI</v>
      </c>
      <c r="H133" s="216" t="s">
        <v>15950</v>
      </c>
      <c r="I133" s="217" t="s">
        <v>1746</v>
      </c>
      <c r="J133" s="217" t="s">
        <v>1558</v>
      </c>
      <c r="K133" s="268"/>
      <c r="L133" s="268"/>
      <c r="M133" s="268"/>
      <c r="N133" s="268" t="s">
        <v>15951</v>
      </c>
      <c r="O133" s="268" t="s">
        <v>15952</v>
      </c>
      <c r="P133" s="218"/>
      <c r="Q133" s="269" t="s">
        <v>15609</v>
      </c>
      <c r="R133" s="215" t="str">
        <f ca="1">IF(ISERROR($V133),"",OFFSET('Smelter Look-up'!$C$4,$V133-4,0)&amp;"")</f>
        <v>Taki Chemical Co., Ltd.</v>
      </c>
      <c r="S133" s="222" t="str">
        <f t="shared" ref="S133" ca="1" si="18">IF(B133="","",IF(ISERROR(MATCH($E133,CL,0)),"Unknown",INDIRECT("'C'!$A$"&amp;MATCH($E133,CL,0)+1)))</f>
        <v>JP</v>
      </c>
      <c r="T133" s="222" t="str">
        <f ca="1">IF(B133="","",IF(ISERROR(MATCH($J133,SorP!$B$1:$B$6230,0)),"",INDIRECT("'SorP'!$A$"&amp;MATCH($J133,SorP!$B$1:$B$6230,0))))</f>
        <v>JP-28</v>
      </c>
      <c r="U133" s="238"/>
      <c r="V133" s="270">
        <f>IF(C133="",NA(),MATCH($B133&amp;$C133,'Smelter Look-up'!$J:$J,0))</f>
        <v>366</v>
      </c>
      <c r="W133" s="271"/>
      <c r="X133" s="271">
        <f t="shared" ref="X133" si="19">IF(AND(C133="Smelter not listed",OR(LEN(D133)=0,LEN(E133)=0)),1,0)</f>
        <v>0</v>
      </c>
      <c r="Y133" s="271"/>
      <c r="Z133" s="271"/>
      <c r="AB133" s="273" t="str">
        <f t="shared" ref="AB133" si="20">B133&amp;C133</f>
        <v>TantalumTaki Chemical Co., Ltd.</v>
      </c>
    </row>
    <row r="134" spans="1:28" s="272" customFormat="1" ht="165.75">
      <c r="A134" s="215" t="s">
        <v>762</v>
      </c>
      <c r="B134" s="215" t="s">
        <v>1132</v>
      </c>
      <c r="C134" s="219" t="s">
        <v>1378</v>
      </c>
      <c r="D134" s="278" t="s">
        <v>1378</v>
      </c>
      <c r="E134" s="215" t="s">
        <v>883</v>
      </c>
      <c r="F134" s="215" t="str">
        <f ca="1">IF(ISERROR($V134),"",OFFSET('Smelter Look-up'!$E$4,$V134-4,0))</f>
        <v>CID001769</v>
      </c>
      <c r="G134" s="215" t="str">
        <f ca="1">IF(C134=$X$4,"Enter smelter details",IF(ISERROR($V134),"",OFFSET('Smelter Look-up'!$F$4,$V134-4,0)))</f>
        <v>RMI</v>
      </c>
      <c r="H134" s="216" t="s">
        <v>15953</v>
      </c>
      <c r="I134" s="217" t="s">
        <v>1745</v>
      </c>
      <c r="J134" s="217" t="s">
        <v>10218</v>
      </c>
      <c r="K134" s="268"/>
      <c r="L134" s="268"/>
      <c r="M134" s="268"/>
      <c r="N134" s="268" t="s">
        <v>15954</v>
      </c>
      <c r="O134" s="268" t="s">
        <v>15955</v>
      </c>
      <c r="P134" s="218"/>
      <c r="Q134" s="269" t="s">
        <v>15609</v>
      </c>
      <c r="R134" s="215" t="str">
        <f ca="1">IF(ISERROR($V134),"",OFFSET('Smelter Look-up'!$C$4,$V134-4,0)&amp;"")</f>
        <v>Solikamsk Magnesium Works OAO</v>
      </c>
      <c r="S134" s="222" t="str">
        <f t="shared" ref="S134:S165" ca="1" si="21">IF(B134="","",IF(ISERROR(MATCH($E134,CL,0)),"Unknown",INDIRECT("'C'!$A$"&amp;MATCH($E134,CL,0)+1)))</f>
        <v>RU</v>
      </c>
      <c r="T134" s="222" t="str">
        <f ca="1">IF(B134="","",IF(ISERROR(MATCH($J134,SorP!$B$1:$B$6230,0)),"",INDIRECT("'SorP'!$A$"&amp;MATCH($J134,SorP!$B$1:$B$6230,0))))</f>
        <v>RU-PER</v>
      </c>
      <c r="U134" s="238"/>
      <c r="V134" s="270">
        <f>IF(C134="",NA(),MATCH($B134&amp;$C134,'Smelter Look-up'!$J:$J,0))</f>
        <v>364</v>
      </c>
      <c r="W134" s="271"/>
      <c r="X134" s="271">
        <f t="shared" ref="X134:X165" si="22">IF(AND(C134="Smelter not listed",OR(LEN(D134)=0,LEN(E134)=0)),1,0)</f>
        <v>0</v>
      </c>
      <c r="Y134" s="271"/>
      <c r="Z134" s="271"/>
      <c r="AB134" s="273" t="str">
        <f t="shared" ref="AB134:AB165" si="23">B134&amp;C134</f>
        <v>TantalumSolikamsk Magnesium Works OAO</v>
      </c>
    </row>
    <row r="135" spans="1:28" s="272" customFormat="1" ht="140.25">
      <c r="A135" s="215" t="s">
        <v>761</v>
      </c>
      <c r="B135" s="215" t="s">
        <v>1132</v>
      </c>
      <c r="C135" s="219" t="s">
        <v>13496</v>
      </c>
      <c r="D135" s="278" t="s">
        <v>13496</v>
      </c>
      <c r="E135" s="215" t="s">
        <v>1100</v>
      </c>
      <c r="F135" s="215" t="str">
        <f ca="1">IF(ISERROR($V135),"",OFFSET('Smelter Look-up'!$E$4,$V135-4,0))</f>
        <v>CID001522</v>
      </c>
      <c r="G135" s="215" t="str">
        <f ca="1">IF(C135=$X$4,"Enter smelter details",IF(ISERROR($V135),"",OFFSET('Smelter Look-up'!$F$4,$V135-4,0)))</f>
        <v>RMI</v>
      </c>
      <c r="H135" s="216" t="s">
        <v>15936</v>
      </c>
      <c r="I135" s="217" t="s">
        <v>1744</v>
      </c>
      <c r="J135" s="217" t="s">
        <v>13846</v>
      </c>
      <c r="K135" s="268"/>
      <c r="L135" s="268"/>
      <c r="M135" s="268"/>
      <c r="N135" s="268" t="s">
        <v>15956</v>
      </c>
      <c r="O135" s="268" t="s">
        <v>15957</v>
      </c>
      <c r="P135" s="218"/>
      <c r="Q135" s="269" t="s">
        <v>15609</v>
      </c>
      <c r="R135" s="215" t="str">
        <f ca="1">IF(ISERROR($V135),"",OFFSET('Smelter Look-up'!$C$4,$V135-4,0)&amp;"")</f>
        <v>Yanling Jincheng Tantalum &amp; Niobium Co., Ltd.</v>
      </c>
      <c r="S135" s="222" t="str">
        <f t="shared" ca="1" si="21"/>
        <v>CN</v>
      </c>
      <c r="T135" s="222" t="str">
        <f ca="1">IF(B135="","",IF(ISERROR(MATCH($J135,SorP!$B$1:$B$6230,0)),"",INDIRECT("'SorP'!$A$"&amp;MATCH($J135,SorP!$B$1:$B$6230,0))))</f>
        <v>CN-HN</v>
      </c>
      <c r="U135" s="238"/>
      <c r="V135" s="270">
        <f>IF(C135="",NA(),MATCH($B135&amp;$C135,'Smelter Look-up'!$J:$J,0))</f>
        <v>378</v>
      </c>
      <c r="W135" s="271"/>
      <c r="X135" s="271">
        <f t="shared" si="22"/>
        <v>0</v>
      </c>
      <c r="Y135" s="271"/>
      <c r="Z135" s="271"/>
      <c r="AB135" s="273" t="str">
        <f t="shared" si="23"/>
        <v>TantalumYanling Jincheng Tantalum &amp; Niobium Co., Ltd.</v>
      </c>
    </row>
    <row r="136" spans="1:28" s="272" customFormat="1" ht="140.25">
      <c r="A136" s="215" t="s">
        <v>760</v>
      </c>
      <c r="B136" s="215" t="s">
        <v>1132</v>
      </c>
      <c r="C136" s="219" t="s">
        <v>817</v>
      </c>
      <c r="D136" s="278" t="s">
        <v>817</v>
      </c>
      <c r="E136" s="215" t="s">
        <v>2463</v>
      </c>
      <c r="F136" s="215" t="str">
        <f ca="1">IF(ISERROR($V136),"",OFFSET('Smelter Look-up'!$E$4,$V136-4,0))</f>
        <v>CID001508</v>
      </c>
      <c r="G136" s="215" t="str">
        <f ca="1">IF(C136=$X$4,"Enter smelter details",IF(ISERROR($V136),"",OFFSET('Smelter Look-up'!$F$4,$V136-4,0)))</f>
        <v>RMI</v>
      </c>
      <c r="H136" s="216" t="s">
        <v>15958</v>
      </c>
      <c r="I136" s="217" t="s">
        <v>14056</v>
      </c>
      <c r="J136" s="217" t="s">
        <v>2282</v>
      </c>
      <c r="K136" s="268"/>
      <c r="L136" s="268"/>
      <c r="M136" s="268"/>
      <c r="N136" s="268" t="s">
        <v>15959</v>
      </c>
      <c r="O136" s="268" t="s">
        <v>15960</v>
      </c>
      <c r="P136" s="218"/>
      <c r="Q136" s="269" t="s">
        <v>15609</v>
      </c>
      <c r="R136" s="215" t="str">
        <f ca="1">IF(ISERROR($V136),"",OFFSET('Smelter Look-up'!$C$4,$V136-4,0)&amp;"")</f>
        <v>QuantumClean</v>
      </c>
      <c r="S136" s="222" t="str">
        <f t="shared" ca="1" si="21"/>
        <v>US</v>
      </c>
      <c r="T136" s="222" t="str">
        <f ca="1">IF(B136="","",IF(ISERROR(MATCH($J136,SorP!$B$1:$B$6230,0)),"",INDIRECT("'SorP'!$A$"&amp;MATCH($J136,SorP!$B$1:$B$6230,0))))</f>
        <v>US-TX</v>
      </c>
      <c r="U136" s="238"/>
      <c r="V136" s="270">
        <f>IF(C136="",NA(),MATCH($B136&amp;$C136,'Smelter Look-up'!$J:$J,0))</f>
        <v>357</v>
      </c>
      <c r="W136" s="271"/>
      <c r="X136" s="271">
        <f t="shared" si="22"/>
        <v>0</v>
      </c>
      <c r="Y136" s="271"/>
      <c r="Z136" s="271"/>
      <c r="AB136" s="273" t="str">
        <f t="shared" si="23"/>
        <v>TantalumQuantumClean</v>
      </c>
    </row>
    <row r="137" spans="1:28" s="272" customFormat="1" ht="255">
      <c r="A137" s="215" t="s">
        <v>759</v>
      </c>
      <c r="B137" s="215" t="s">
        <v>1132</v>
      </c>
      <c r="C137" s="219" t="s">
        <v>1030</v>
      </c>
      <c r="D137" s="278" t="s">
        <v>1030</v>
      </c>
      <c r="E137" s="215" t="s">
        <v>1100</v>
      </c>
      <c r="F137" s="215" t="str">
        <f ca="1">IF(ISERROR($V137),"",OFFSET('Smelter Look-up'!$E$4,$V137-4,0))</f>
        <v>CID001277</v>
      </c>
      <c r="G137" s="215" t="str">
        <f ca="1">IF(C137=$X$4,"Enter smelter details",IF(ISERROR($V137),"",OFFSET('Smelter Look-up'!$F$4,$V137-4,0)))</f>
        <v>RMI</v>
      </c>
      <c r="H137" s="216" t="s">
        <v>15961</v>
      </c>
      <c r="I137" s="217" t="s">
        <v>1742</v>
      </c>
      <c r="J137" s="217" t="s">
        <v>13828</v>
      </c>
      <c r="K137" s="268"/>
      <c r="L137" s="268"/>
      <c r="M137" s="268"/>
      <c r="N137" s="268" t="s">
        <v>15962</v>
      </c>
      <c r="O137" s="268" t="s">
        <v>15963</v>
      </c>
      <c r="P137" s="218"/>
      <c r="Q137" s="269" t="s">
        <v>15609</v>
      </c>
      <c r="R137" s="215" t="str">
        <f ca="1">IF(ISERROR($V137),"",OFFSET('Smelter Look-up'!$C$4,$V137-4,0)&amp;"")</f>
        <v>Ningxia Orient Tantalum Industry Co., Ltd.</v>
      </c>
      <c r="S137" s="222" t="str">
        <f t="shared" ca="1" si="21"/>
        <v>CN</v>
      </c>
      <c r="T137" s="222" t="str">
        <f ca="1">IF(B137="","",IF(ISERROR(MATCH($J137,SorP!$B$1:$B$6230,0)),"",INDIRECT("'SorP'!$A$"&amp;MATCH($J137,SorP!$B$1:$B$6230,0))))</f>
        <v>CN-NX</v>
      </c>
      <c r="U137" s="238"/>
      <c r="V137" s="270">
        <f>IF(C137="",NA(),MATCH($B137&amp;$C137,'Smelter Look-up'!$J:$J,0))</f>
        <v>352</v>
      </c>
      <c r="W137" s="271"/>
      <c r="X137" s="271">
        <f t="shared" si="22"/>
        <v>0</v>
      </c>
      <c r="Y137" s="271"/>
      <c r="Z137" s="271"/>
      <c r="AB137" s="273" t="str">
        <f t="shared" si="23"/>
        <v>TantalumNingxia Orient Tantalum Industry Co., Ltd.</v>
      </c>
    </row>
    <row r="138" spans="1:28" s="272" customFormat="1" ht="191.25">
      <c r="A138" s="215" t="s">
        <v>758</v>
      </c>
      <c r="B138" s="215" t="s">
        <v>1132</v>
      </c>
      <c r="C138" s="219" t="s">
        <v>2560</v>
      </c>
      <c r="D138" s="278" t="s">
        <v>2560</v>
      </c>
      <c r="E138" s="215" t="s">
        <v>1103</v>
      </c>
      <c r="F138" s="215" t="str">
        <f ca="1">IF(ISERROR($V138),"",OFFSET('Smelter Look-up'!$E$4,$V138-4,0))</f>
        <v>CID001200</v>
      </c>
      <c r="G138" s="215" t="str">
        <f ca="1">IF(C138=$X$4,"Enter smelter details",IF(ISERROR($V138),"",OFFSET('Smelter Look-up'!$F$4,$V138-4,0)))</f>
        <v>RMI</v>
      </c>
      <c r="H138" s="216" t="s">
        <v>15964</v>
      </c>
      <c r="I138" s="217" t="s">
        <v>1740</v>
      </c>
      <c r="J138" s="217" t="s">
        <v>1741</v>
      </c>
      <c r="K138" s="268"/>
      <c r="L138" s="268"/>
      <c r="M138" s="268"/>
      <c r="N138" s="268" t="s">
        <v>15965</v>
      </c>
      <c r="O138" s="268" t="s">
        <v>15966</v>
      </c>
      <c r="P138" s="218"/>
      <c r="Q138" s="269" t="s">
        <v>15609</v>
      </c>
      <c r="R138" s="215" t="str">
        <f ca="1">IF(ISERROR($V138),"",OFFSET('Smelter Look-up'!$C$4,$V138-4,0)&amp;"")</f>
        <v>NPM Silmet AS</v>
      </c>
      <c r="S138" s="222" t="str">
        <f t="shared" ca="1" si="21"/>
        <v>EE</v>
      </c>
      <c r="T138" s="222" t="str">
        <f ca="1">IF(B138="","",IF(ISERROR(MATCH($J138,SorP!$B$1:$B$6230,0)),"",INDIRECT("'SorP'!$A$"&amp;MATCH($J138,SorP!$B$1:$B$6230,0))))</f>
        <v>EE-44</v>
      </c>
      <c r="U138" s="238"/>
      <c r="V138" s="270">
        <f>IF(C138="",NA(),MATCH($B138&amp;$C138,'Smelter Look-up'!$J:$J,0))</f>
        <v>353</v>
      </c>
      <c r="W138" s="271"/>
      <c r="X138" s="271">
        <f t="shared" si="22"/>
        <v>0</v>
      </c>
      <c r="Y138" s="271"/>
      <c r="Z138" s="271"/>
      <c r="AB138" s="273" t="str">
        <f t="shared" si="23"/>
        <v>TantalumNPM Silmet AS</v>
      </c>
    </row>
    <row r="139" spans="1:28" s="272" customFormat="1" ht="153">
      <c r="A139" s="215" t="s">
        <v>757</v>
      </c>
      <c r="B139" s="215" t="s">
        <v>1132</v>
      </c>
      <c r="C139" s="219" t="s">
        <v>1230</v>
      </c>
      <c r="D139" s="278" t="s">
        <v>1230</v>
      </c>
      <c r="E139" s="215" t="s">
        <v>1108</v>
      </c>
      <c r="F139" s="215" t="str">
        <f ca="1">IF(ISERROR($V139),"",OFFSET('Smelter Look-up'!$E$4,$V139-4,0))</f>
        <v>CID001192</v>
      </c>
      <c r="G139" s="215" t="str">
        <f ca="1">IF(C139=$X$4,"Enter smelter details",IF(ISERROR($V139),"",OFFSET('Smelter Look-up'!$F$4,$V139-4,0)))</f>
        <v>RMI</v>
      </c>
      <c r="H139" s="216" t="s">
        <v>15967</v>
      </c>
      <c r="I139" s="217" t="s">
        <v>1738</v>
      </c>
      <c r="J139" s="217" t="s">
        <v>1739</v>
      </c>
      <c r="K139" s="268"/>
      <c r="L139" s="268"/>
      <c r="M139" s="268"/>
      <c r="N139" s="268" t="s">
        <v>15968</v>
      </c>
      <c r="O139" s="268" t="s">
        <v>15969</v>
      </c>
      <c r="P139" s="218"/>
      <c r="Q139" s="269" t="s">
        <v>15609</v>
      </c>
      <c r="R139" s="215" t="str">
        <f ca="1">IF(ISERROR($V139),"",OFFSET('Smelter Look-up'!$C$4,$V139-4,0)&amp;"")</f>
        <v>Mitsui Mining and Smelting Co., Ltd.</v>
      </c>
      <c r="S139" s="222" t="str">
        <f t="shared" ca="1" si="21"/>
        <v>JP</v>
      </c>
      <c r="T139" s="222" t="str">
        <f ca="1">IF(B139="","",IF(ISERROR(MATCH($J139,SorP!$B$1:$B$6230,0)),"",INDIRECT("'SorP'!$A$"&amp;MATCH($J139,SorP!$B$1:$B$6230,0))))</f>
        <v>JP-40</v>
      </c>
      <c r="U139" s="238"/>
      <c r="V139" s="270">
        <f>IF(C139="",NA(),MATCH($B139&amp;$C139,'Smelter Look-up'!$J:$J,0))</f>
        <v>349</v>
      </c>
      <c r="W139" s="271"/>
      <c r="X139" s="271">
        <f t="shared" si="22"/>
        <v>0</v>
      </c>
      <c r="Y139" s="271"/>
      <c r="Z139" s="271"/>
      <c r="AB139" s="273" t="str">
        <f t="shared" si="23"/>
        <v>TantalumMitsui Mining and Smelting Co., Ltd.</v>
      </c>
    </row>
    <row r="140" spans="1:28" s="272" customFormat="1" ht="63.75">
      <c r="A140" s="215" t="s">
        <v>756</v>
      </c>
      <c r="B140" s="215" t="s">
        <v>1132</v>
      </c>
      <c r="C140" s="219" t="s">
        <v>12642</v>
      </c>
      <c r="D140" s="278" t="s">
        <v>12642</v>
      </c>
      <c r="E140" s="215" t="s">
        <v>1096</v>
      </c>
      <c r="F140" s="215" t="str">
        <f ca="1">IF(ISERROR($V140),"",OFFSET('Smelter Look-up'!$E$4,$V140-4,0))</f>
        <v>CID001175</v>
      </c>
      <c r="G140" s="215" t="str">
        <f ca="1">IF(C140=$X$4,"Enter smelter details",IF(ISERROR($V140),"",OFFSET('Smelter Look-up'!$F$4,$V140-4,0)))</f>
        <v>RMI</v>
      </c>
      <c r="H140" s="216" t="s">
        <v>15970</v>
      </c>
      <c r="I140" s="217" t="s">
        <v>1736</v>
      </c>
      <c r="J140" s="217" t="s">
        <v>1737</v>
      </c>
      <c r="K140" s="268"/>
      <c r="L140" s="268"/>
      <c r="M140" s="268"/>
      <c r="N140" s="268" t="s">
        <v>15971</v>
      </c>
      <c r="O140" s="268" t="s">
        <v>15972</v>
      </c>
      <c r="P140" s="218"/>
      <c r="Q140" s="269" t="s">
        <v>15609</v>
      </c>
      <c r="R140" s="215" t="str">
        <f ca="1">IF(ISERROR($V140),"",OFFSET('Smelter Look-up'!$C$4,$V140-4,0)&amp;"")</f>
        <v>Mineracao Taboca S.A.</v>
      </c>
      <c r="S140" s="222" t="str">
        <f t="shared" ca="1" si="21"/>
        <v>BR</v>
      </c>
      <c r="T140" s="222" t="str">
        <f ca="1">IF(B140="","",IF(ISERROR(MATCH($J140,SorP!$B$1:$B$6230,0)),"",INDIRECT("'SorP'!$A$"&amp;MATCH($J140,SorP!$B$1:$B$6230,0))))</f>
        <v>BR-AM</v>
      </c>
      <c r="U140" s="238"/>
      <c r="V140" s="270">
        <f>IF(C140="",NA(),MATCH($B140&amp;$C140,'Smelter Look-up'!$J:$J,0))</f>
        <v>345</v>
      </c>
      <c r="W140" s="271"/>
      <c r="X140" s="271">
        <f t="shared" si="22"/>
        <v>0</v>
      </c>
      <c r="Y140" s="271"/>
      <c r="Z140" s="271"/>
      <c r="AB140" s="273" t="str">
        <f t="shared" si="23"/>
        <v>TantalumMineracao Taboca S.A.</v>
      </c>
    </row>
    <row r="141" spans="1:28" s="272" customFormat="1" ht="178.5">
      <c r="A141" s="215" t="s">
        <v>755</v>
      </c>
      <c r="B141" s="215" t="s">
        <v>1132</v>
      </c>
      <c r="C141" s="219" t="s">
        <v>2168</v>
      </c>
      <c r="D141" s="278" t="s">
        <v>2168</v>
      </c>
      <c r="E141" s="215" t="s">
        <v>1106</v>
      </c>
      <c r="F141" s="215" t="str">
        <f ca="1">IF(ISERROR($V141),"",OFFSET('Smelter Look-up'!$E$4,$V141-4,0))</f>
        <v>CID001163</v>
      </c>
      <c r="G141" s="215" t="str">
        <f ca="1">IF(C141=$X$4,"Enter smelter details",IF(ISERROR($V141),"",OFFSET('Smelter Look-up'!$F$4,$V141-4,0)))</f>
        <v>RMI</v>
      </c>
      <c r="H141" s="216" t="s">
        <v>15973</v>
      </c>
      <c r="I141" s="217" t="s">
        <v>1733</v>
      </c>
      <c r="J141" s="217" t="s">
        <v>1734</v>
      </c>
      <c r="K141" s="268"/>
      <c r="L141" s="268"/>
      <c r="M141" s="268"/>
      <c r="N141" s="268" t="s">
        <v>15919</v>
      </c>
      <c r="O141" s="268" t="s">
        <v>15974</v>
      </c>
      <c r="P141" s="218"/>
      <c r="Q141" s="269" t="s">
        <v>15609</v>
      </c>
      <c r="R141" s="215" t="str">
        <f ca="1">IF(ISERROR($V141),"",OFFSET('Smelter Look-up'!$C$4,$V141-4,0)&amp;"")</f>
        <v>Metallurgical Products India Pvt., Ltd.</v>
      </c>
      <c r="S141" s="222" t="str">
        <f t="shared" ca="1" si="21"/>
        <v>IN</v>
      </c>
      <c r="T141" s="222" t="str">
        <f ca="1">IF(B141="","",IF(ISERROR(MATCH($J141,SorP!$B$1:$B$6230,0)),"",INDIRECT("'SorP'!$A$"&amp;MATCH($J141,SorP!$B$1:$B$6230,0))))</f>
        <v>IN-MH</v>
      </c>
      <c r="U141" s="238"/>
      <c r="V141" s="270">
        <f>IF(C141="",NA(),MATCH($B141&amp;$C141,'Smelter Look-up'!$J:$J,0))</f>
        <v>344</v>
      </c>
      <c r="W141" s="271"/>
      <c r="X141" s="271">
        <f t="shared" si="22"/>
        <v>0</v>
      </c>
      <c r="Y141" s="271"/>
      <c r="Z141" s="271"/>
      <c r="AB141" s="273" t="str">
        <f t="shared" si="23"/>
        <v>TantalumMetallurgical Products India Pvt., Ltd.</v>
      </c>
    </row>
    <row r="142" spans="1:28" s="272" customFormat="1" ht="178.5">
      <c r="A142" s="215" t="s">
        <v>754</v>
      </c>
      <c r="B142" s="215" t="s">
        <v>1132</v>
      </c>
      <c r="C142" s="219" t="s">
        <v>47</v>
      </c>
      <c r="D142" s="278" t="s">
        <v>47</v>
      </c>
      <c r="E142" s="215" t="s">
        <v>1096</v>
      </c>
      <c r="F142" s="215" t="str">
        <f ca="1">IF(ISERROR($V142),"",OFFSET('Smelter Look-up'!$E$4,$V142-4,0))</f>
        <v>CID001076</v>
      </c>
      <c r="G142" s="215" t="str">
        <f ca="1">IF(C142=$X$4,"Enter smelter details",IF(ISERROR($V142),"",OFFSET('Smelter Look-up'!$F$4,$V142-4,0)))</f>
        <v>RMI</v>
      </c>
      <c r="H142" s="216" t="s">
        <v>15975</v>
      </c>
      <c r="I142" s="217" t="s">
        <v>1732</v>
      </c>
      <c r="J142" s="217" t="s">
        <v>1554</v>
      </c>
      <c r="K142" s="268"/>
      <c r="L142" s="268"/>
      <c r="M142" s="268"/>
      <c r="N142" s="268" t="s">
        <v>15976</v>
      </c>
      <c r="O142" s="268" t="s">
        <v>15977</v>
      </c>
      <c r="P142" s="218"/>
      <c r="Q142" s="269" t="s">
        <v>15609</v>
      </c>
      <c r="R142" s="215" t="str">
        <f ca="1">IF(ISERROR($V142),"",OFFSET('Smelter Look-up'!$C$4,$V142-4,0)&amp;"")</f>
        <v>LSM Brasil S.A.</v>
      </c>
      <c r="S142" s="222" t="str">
        <f t="shared" ca="1" si="21"/>
        <v>BR</v>
      </c>
      <c r="T142" s="222" t="str">
        <f ca="1">IF(B142="","",IF(ISERROR(MATCH($J142,SorP!$B$1:$B$6230,0)),"",INDIRECT("'SorP'!$A$"&amp;MATCH($J142,SorP!$B$1:$B$6230,0))))</f>
        <v>BR-MG</v>
      </c>
      <c r="U142" s="238"/>
      <c r="V142" s="270">
        <f>IF(C142="",NA(),MATCH($B142&amp;$C142,'Smelter Look-up'!$J:$J,0))</f>
        <v>341</v>
      </c>
      <c r="W142" s="271"/>
      <c r="X142" s="271">
        <f t="shared" si="22"/>
        <v>0</v>
      </c>
      <c r="Y142" s="271"/>
      <c r="Z142" s="271"/>
      <c r="AB142" s="273" t="str">
        <f t="shared" si="23"/>
        <v>TantalumLSM Brasil S.A.</v>
      </c>
    </row>
    <row r="143" spans="1:28" s="272" customFormat="1" ht="229.5">
      <c r="A143" s="215" t="s">
        <v>753</v>
      </c>
      <c r="B143" s="215" t="s">
        <v>1132</v>
      </c>
      <c r="C143" s="219" t="s">
        <v>46</v>
      </c>
      <c r="D143" s="278" t="s">
        <v>46</v>
      </c>
      <c r="E143" s="215" t="s">
        <v>1100</v>
      </c>
      <c r="F143" s="215" t="str">
        <f ca="1">IF(ISERROR($V143),"",OFFSET('Smelter Look-up'!$E$4,$V143-4,0))</f>
        <v>CID000917</v>
      </c>
      <c r="G143" s="215" t="str">
        <f ca="1">IF(C143=$X$4,"Enter smelter details",IF(ISERROR($V143),"",OFFSET('Smelter Look-up'!$F$4,$V143-4,0)))</f>
        <v>RMI</v>
      </c>
      <c r="H143" s="216" t="s">
        <v>15933</v>
      </c>
      <c r="I143" s="217" t="s">
        <v>1731</v>
      </c>
      <c r="J143" s="217" t="s">
        <v>13842</v>
      </c>
      <c r="K143" s="268"/>
      <c r="L143" s="268"/>
      <c r="M143" s="268"/>
      <c r="N143" s="268" t="s">
        <v>15978</v>
      </c>
      <c r="O143" s="268" t="s">
        <v>15979</v>
      </c>
      <c r="P143" s="218"/>
      <c r="Q143" s="269" t="s">
        <v>15609</v>
      </c>
      <c r="R143" s="215" t="str">
        <f ca="1">IF(ISERROR($V143),"",OFFSET('Smelter Look-up'!$C$4,$V143-4,0)&amp;"")</f>
        <v>Jiujiang Tanbre Co., Ltd.</v>
      </c>
      <c r="S143" s="222" t="str">
        <f t="shared" ca="1" si="21"/>
        <v>CN</v>
      </c>
      <c r="T143" s="222" t="str">
        <f ca="1">IF(B143="","",IF(ISERROR(MATCH($J143,SorP!$B$1:$B$6230,0)),"",INDIRECT("'SorP'!$A$"&amp;MATCH($J143,SorP!$B$1:$B$6230,0))))</f>
        <v>CN-JX</v>
      </c>
      <c r="U143" s="238"/>
      <c r="V143" s="270">
        <f>IF(C143="",NA(),MATCH($B143&amp;$C143,'Smelter Look-up'!$J:$J,0))</f>
        <v>337</v>
      </c>
      <c r="W143" s="271"/>
      <c r="X143" s="271">
        <f t="shared" si="22"/>
        <v>0</v>
      </c>
      <c r="Y143" s="271"/>
      <c r="Z143" s="271"/>
      <c r="AB143" s="273" t="str">
        <f t="shared" si="23"/>
        <v>TantalumJiujiang Tanbre Co., Ltd.</v>
      </c>
    </row>
    <row r="144" spans="1:28" s="272" customFormat="1" ht="216.75">
      <c r="A144" s="215" t="s">
        <v>752</v>
      </c>
      <c r="B144" s="215" t="s">
        <v>1132</v>
      </c>
      <c r="C144" s="219" t="s">
        <v>4</v>
      </c>
      <c r="D144" s="278" t="s">
        <v>4</v>
      </c>
      <c r="E144" s="215" t="s">
        <v>1100</v>
      </c>
      <c r="F144" s="215" t="str">
        <f ca="1">IF(ISERROR($V144),"",OFFSET('Smelter Look-up'!$E$4,$V144-4,0))</f>
        <v>CID000914</v>
      </c>
      <c r="G144" s="215" t="str">
        <f ca="1">IF(C144=$X$4,"Enter smelter details",IF(ISERROR($V144),"",OFFSET('Smelter Look-up'!$F$4,$V144-4,0)))</f>
        <v>RMI</v>
      </c>
      <c r="H144" s="216" t="s">
        <v>15933</v>
      </c>
      <c r="I144" s="217" t="s">
        <v>1731</v>
      </c>
      <c r="J144" s="217" t="s">
        <v>13842</v>
      </c>
      <c r="K144" s="268"/>
      <c r="L144" s="268"/>
      <c r="M144" s="268"/>
      <c r="N144" s="268" t="s">
        <v>15980</v>
      </c>
      <c r="O144" s="268" t="s">
        <v>15981</v>
      </c>
      <c r="P144" s="218"/>
      <c r="Q144" s="269" t="s">
        <v>15609</v>
      </c>
      <c r="R144" s="215" t="str">
        <f ca="1">IF(ISERROR($V144),"",OFFSET('Smelter Look-up'!$C$4,$V144-4,0)&amp;"")</f>
        <v>JiuJiang JinXin Nonferrous Metals Co., Ltd.</v>
      </c>
      <c r="S144" s="222" t="str">
        <f t="shared" ca="1" si="21"/>
        <v>CN</v>
      </c>
      <c r="T144" s="222" t="str">
        <f ca="1">IF(B144="","",IF(ISERROR(MATCH($J144,SorP!$B$1:$B$6230,0)),"",INDIRECT("'SorP'!$A$"&amp;MATCH($J144,SorP!$B$1:$B$6230,0))))</f>
        <v>CN-JX</v>
      </c>
      <c r="U144" s="238"/>
      <c r="V144" s="270">
        <f>IF(C144="",NA(),MATCH($B144&amp;$C144,'Smelter Look-up'!$J:$J,0))</f>
        <v>335</v>
      </c>
      <c r="W144" s="271"/>
      <c r="X144" s="271">
        <f t="shared" si="22"/>
        <v>0</v>
      </c>
      <c r="Y144" s="271"/>
      <c r="Z144" s="271"/>
      <c r="AB144" s="273" t="str">
        <f t="shared" si="23"/>
        <v>TantalumJiuJiang JinXin Nonferrous Metals Co., Ltd.</v>
      </c>
    </row>
    <row r="145" spans="1:28" s="272" customFormat="1" ht="216.75">
      <c r="A145" s="215" t="s">
        <v>751</v>
      </c>
      <c r="B145" s="215" t="s">
        <v>1132</v>
      </c>
      <c r="C145" s="219" t="s">
        <v>15358</v>
      </c>
      <c r="D145" s="278" t="s">
        <v>15358</v>
      </c>
      <c r="E145" s="215" t="s">
        <v>1100</v>
      </c>
      <c r="F145" s="215" t="str">
        <f ca="1">IF(ISERROR($V145),"",OFFSET('Smelter Look-up'!$E$4,$V145-4,0))</f>
        <v>CID000616</v>
      </c>
      <c r="G145" s="215" t="str">
        <f ca="1">IF(C145=$X$4,"Enter smelter details",IF(ISERROR($V145),"",OFFSET('Smelter Look-up'!$F$4,$V145-4,0)))</f>
        <v>RMI</v>
      </c>
      <c r="H145" s="216" t="s">
        <v>15982</v>
      </c>
      <c r="I145" s="217" t="s">
        <v>1730</v>
      </c>
      <c r="J145" s="217" t="s">
        <v>13847</v>
      </c>
      <c r="K145" s="268"/>
      <c r="L145" s="268"/>
      <c r="M145" s="268"/>
      <c r="N145" s="268" t="s">
        <v>15983</v>
      </c>
      <c r="O145" s="268" t="s">
        <v>15984</v>
      </c>
      <c r="P145" s="218"/>
      <c r="Q145" s="269" t="s">
        <v>15609</v>
      </c>
      <c r="R145" s="215" t="str">
        <f ca="1">IF(ISERROR($V145),"",OFFSET('Smelter Look-up'!$C$4,$V145-4,0)&amp;"")</f>
        <v>XIMEI RESOURCES (GUANGDONG) LIMITED</v>
      </c>
      <c r="S145" s="222" t="str">
        <f t="shared" ca="1" si="21"/>
        <v>CN</v>
      </c>
      <c r="T145" s="222" t="str">
        <f ca="1">IF(B145="","",IF(ISERROR(MATCH($J145,SorP!$B$1:$B$6230,0)),"",INDIRECT("'SorP'!$A$"&amp;MATCH($J145,SorP!$B$1:$B$6230,0))))</f>
        <v>CN-GD</v>
      </c>
      <c r="U145" s="238"/>
      <c r="V145" s="270">
        <f>IF(C145="",NA(),MATCH($B145&amp;$C145,'Smelter Look-up'!$J:$J,0))</f>
        <v>375</v>
      </c>
      <c r="W145" s="271"/>
      <c r="X145" s="271">
        <f t="shared" si="22"/>
        <v>0</v>
      </c>
      <c r="Y145" s="271"/>
      <c r="Z145" s="271"/>
      <c r="AB145" s="273" t="str">
        <f t="shared" si="23"/>
        <v>TantalumXIMEI RESOURCES (GUANGDONG) LIMITED</v>
      </c>
    </row>
    <row r="146" spans="1:28" s="272" customFormat="1" ht="293.25">
      <c r="A146" s="215" t="s">
        <v>749</v>
      </c>
      <c r="B146" s="215" t="s">
        <v>1132</v>
      </c>
      <c r="C146" s="219" t="s">
        <v>45</v>
      </c>
      <c r="D146" s="278" t="s">
        <v>45</v>
      </c>
      <c r="E146" s="215" t="s">
        <v>1100</v>
      </c>
      <c r="F146" s="215" t="str">
        <f ca="1">IF(ISERROR($V146),"",OFFSET('Smelter Look-up'!$E$4,$V146-4,0))</f>
        <v>CID000460</v>
      </c>
      <c r="G146" s="215" t="str">
        <f ca="1">IF(C146=$X$4,"Enter smelter details",IF(ISERROR($V146),"",OFFSET('Smelter Look-up'!$F$4,$V146-4,0)))</f>
        <v>RMI</v>
      </c>
      <c r="H146" s="216" t="s">
        <v>15985</v>
      </c>
      <c r="I146" s="217" t="s">
        <v>1728</v>
      </c>
      <c r="J146" s="217" t="s">
        <v>13847</v>
      </c>
      <c r="K146" s="268"/>
      <c r="L146" s="268"/>
      <c r="M146" s="268"/>
      <c r="N146" s="268" t="s">
        <v>15986</v>
      </c>
      <c r="O146" s="268" t="s">
        <v>15987</v>
      </c>
      <c r="P146" s="218"/>
      <c r="Q146" s="269" t="s">
        <v>15609</v>
      </c>
      <c r="R146" s="215" t="str">
        <f ca="1">IF(ISERROR($V146),"",OFFSET('Smelter Look-up'!$C$4,$V146-4,0)&amp;"")</f>
        <v>F&amp;X Electro-Materials Ltd.</v>
      </c>
      <c r="S146" s="222" t="str">
        <f t="shared" ca="1" si="21"/>
        <v>CN</v>
      </c>
      <c r="T146" s="222" t="str">
        <f ca="1">IF(B146="","",IF(ISERROR(MATCH($J146,SorP!$B$1:$B$6230,0)),"",INDIRECT("'SorP'!$A$"&amp;MATCH($J146,SorP!$B$1:$B$6230,0))))</f>
        <v>CN-GD</v>
      </c>
      <c r="U146" s="238"/>
      <c r="V146" s="270">
        <f>IF(C146="",NA(),MATCH($B146&amp;$C146,'Smelter Look-up'!$J:$J,0))</f>
        <v>321</v>
      </c>
      <c r="W146" s="271"/>
      <c r="X146" s="271">
        <f t="shared" si="22"/>
        <v>0</v>
      </c>
      <c r="Y146" s="271"/>
      <c r="Z146" s="271"/>
      <c r="AB146" s="273" t="str">
        <f t="shared" si="23"/>
        <v>TantalumF&amp;X Electro-Materials Ltd.</v>
      </c>
    </row>
    <row r="147" spans="1:28" s="272" customFormat="1" ht="191.25">
      <c r="A147" s="215" t="s">
        <v>748</v>
      </c>
      <c r="B147" s="215" t="s">
        <v>1132</v>
      </c>
      <c r="C147" s="219" t="s">
        <v>1118</v>
      </c>
      <c r="D147" s="278" t="s">
        <v>1118</v>
      </c>
      <c r="E147" s="215" t="s">
        <v>2463</v>
      </c>
      <c r="F147" s="215" t="str">
        <f ca="1">IF(ISERROR($V147),"",OFFSET('Smelter Look-up'!$E$4,$V147-4,0))</f>
        <v>CID000456</v>
      </c>
      <c r="G147" s="215" t="str">
        <f ca="1">IF(C147=$X$4,"Enter smelter details",IF(ISERROR($V147),"",OFFSET('Smelter Look-up'!$F$4,$V147-4,0)))</f>
        <v>RMI</v>
      </c>
      <c r="H147" s="216" t="s">
        <v>15988</v>
      </c>
      <c r="I147" s="217" t="s">
        <v>1727</v>
      </c>
      <c r="J147" s="217" t="s">
        <v>1706</v>
      </c>
      <c r="K147" s="268"/>
      <c r="L147" s="268"/>
      <c r="M147" s="268"/>
      <c r="N147" s="268" t="s">
        <v>15989</v>
      </c>
      <c r="O147" s="268" t="s">
        <v>15990</v>
      </c>
      <c r="P147" s="218"/>
      <c r="Q147" s="269" t="s">
        <v>15609</v>
      </c>
      <c r="R147" s="215" t="str">
        <f ca="1">IF(ISERROR($V147),"",OFFSET('Smelter Look-up'!$C$4,$V147-4,0)&amp;"")</f>
        <v>Exotech Inc.</v>
      </c>
      <c r="S147" s="222" t="str">
        <f t="shared" ca="1" si="21"/>
        <v>US</v>
      </c>
      <c r="T147" s="222" t="str">
        <f ca="1">IF(B147="","",IF(ISERROR(MATCH($J147,SorP!$B$1:$B$6230,0)),"",INDIRECT("'SorP'!$A$"&amp;MATCH($J147,SorP!$B$1:$B$6230,0))))</f>
        <v>US-FL</v>
      </c>
      <c r="U147" s="238"/>
      <c r="V147" s="270">
        <f>IF(C147="",NA(),MATCH($B147&amp;$C147,'Smelter Look-up'!$J:$J,0))</f>
        <v>319</v>
      </c>
      <c r="W147" s="271"/>
      <c r="X147" s="271">
        <f t="shared" si="22"/>
        <v>0</v>
      </c>
      <c r="Y147" s="271"/>
      <c r="Z147" s="271"/>
      <c r="AB147" s="273" t="str">
        <f t="shared" si="23"/>
        <v>TantalumExotech Inc.</v>
      </c>
    </row>
    <row r="148" spans="1:28" s="272" customFormat="1" ht="114.75">
      <c r="A148" s="215" t="s">
        <v>747</v>
      </c>
      <c r="B148" s="215" t="s">
        <v>1132</v>
      </c>
      <c r="C148" s="219" t="s">
        <v>2</v>
      </c>
      <c r="D148" s="278" t="s">
        <v>2</v>
      </c>
      <c r="E148" s="215" t="s">
        <v>1100</v>
      </c>
      <c r="F148" s="215" t="str">
        <f ca="1">IF(ISERROR($V148),"",OFFSET('Smelter Look-up'!$E$4,$V148-4,0))</f>
        <v>CID000211</v>
      </c>
      <c r="G148" s="215" t="str">
        <f ca="1">IF(C148=$X$4,"Enter smelter details",IF(ISERROR($V148),"",OFFSET('Smelter Look-up'!$F$4,$V148-4,0)))</f>
        <v>RMI</v>
      </c>
      <c r="H148" s="216" t="s">
        <v>15991</v>
      </c>
      <c r="I148" s="217" t="s">
        <v>1597</v>
      </c>
      <c r="J148" s="217" t="s">
        <v>13846</v>
      </c>
      <c r="K148" s="268"/>
      <c r="L148" s="268"/>
      <c r="M148" s="268"/>
      <c r="N148" s="268" t="s">
        <v>15992</v>
      </c>
      <c r="O148" s="268" t="s">
        <v>15993</v>
      </c>
      <c r="P148" s="218"/>
      <c r="Q148" s="269" t="s">
        <v>15609</v>
      </c>
      <c r="R148" s="215" t="str">
        <f ca="1">IF(ISERROR($V148),"",OFFSET('Smelter Look-up'!$C$4,$V148-4,0)&amp;"")</f>
        <v>Changsha South Tantalum Niobium Co., Ltd.</v>
      </c>
      <c r="S148" s="222" t="str">
        <f t="shared" ca="1" si="21"/>
        <v>CN</v>
      </c>
      <c r="T148" s="222" t="str">
        <f ca="1">IF(B148="","",IF(ISERROR(MATCH($J148,SorP!$B$1:$B$6230,0)),"",INDIRECT("'SorP'!$A$"&amp;MATCH($J148,SorP!$B$1:$B$6230,0))))</f>
        <v>CN-HN</v>
      </c>
      <c r="U148" s="238"/>
      <c r="V148" s="270">
        <f>IF(C148="",NA(),MATCH($B148&amp;$C148,'Smelter Look-up'!$J:$J,0))</f>
        <v>316</v>
      </c>
      <c r="W148" s="271"/>
      <c r="X148" s="271">
        <f t="shared" si="22"/>
        <v>0</v>
      </c>
      <c r="Y148" s="271"/>
      <c r="Z148" s="271"/>
      <c r="AB148" s="273" t="str">
        <f t="shared" si="23"/>
        <v>TantalumChangsha South Tantalum Niobium Co., Ltd.</v>
      </c>
    </row>
    <row r="149" spans="1:28" s="272" customFormat="1" ht="102">
      <c r="A149" s="215" t="s">
        <v>14036</v>
      </c>
      <c r="B149" s="215" t="s">
        <v>1131</v>
      </c>
      <c r="C149" s="219" t="s">
        <v>14035</v>
      </c>
      <c r="D149" s="278" t="s">
        <v>14035</v>
      </c>
      <c r="E149" s="215" t="s">
        <v>1100</v>
      </c>
      <c r="F149" s="215" t="str">
        <f ca="1">IF(ISERROR($V149),"",OFFSET('Smelter Look-up'!$E$4,$V149-4,0))</f>
        <v>CID003397</v>
      </c>
      <c r="G149" s="215" t="str">
        <f ca="1">IF(C149=$X$4,"Enter smelter details",IF(ISERROR($V149),"",OFFSET('Smelter Look-up'!$F$4,$V149-4,0)))</f>
        <v>RMI</v>
      </c>
      <c r="H149" s="216" t="s">
        <v>15994</v>
      </c>
      <c r="I149" s="217" t="s">
        <v>2477</v>
      </c>
      <c r="J149" s="217" t="s">
        <v>13851</v>
      </c>
      <c r="K149" s="268"/>
      <c r="L149" s="268"/>
      <c r="M149" s="268"/>
      <c r="N149" s="268" t="s">
        <v>15995</v>
      </c>
      <c r="O149" s="268" t="s">
        <v>15996</v>
      </c>
      <c r="P149" s="218"/>
      <c r="Q149" s="269" t="s">
        <v>15609</v>
      </c>
      <c r="R149" s="215" t="str">
        <f ca="1">IF(ISERROR($V149),"",OFFSET('Smelter Look-up'!$C$4,$V149-4,0)&amp;"")</f>
        <v>Yunnan Yunfan Non-ferrous Metals Co., Ltd.</v>
      </c>
      <c r="S149" s="222" t="str">
        <f t="shared" ca="1" si="21"/>
        <v>CN</v>
      </c>
      <c r="T149" s="222" t="str">
        <f ca="1">IF(B149="","",IF(ISERROR(MATCH($J149,SorP!$B$1:$B$6230,0)),"",INDIRECT("'SorP'!$A$"&amp;MATCH($J149,SorP!$B$1:$B$6230,0))))</f>
        <v>CN-YN</v>
      </c>
      <c r="U149" s="238"/>
      <c r="V149" s="270">
        <f>IF(C149="",NA(),MATCH($B149&amp;$C149,'Smelter Look-up'!$J:$J,0))</f>
        <v>528</v>
      </c>
      <c r="W149" s="271"/>
      <c r="X149" s="271">
        <f t="shared" si="22"/>
        <v>0</v>
      </c>
      <c r="Y149" s="271"/>
      <c r="Z149" s="271"/>
      <c r="AB149" s="273" t="str">
        <f t="shared" si="23"/>
        <v>TinYunnan Yunfan Non-ferrous Metals Co., Ltd.</v>
      </c>
    </row>
    <row r="150" spans="1:28" s="272" customFormat="1" ht="127.5">
      <c r="A150" s="215" t="s">
        <v>14108</v>
      </c>
      <c r="B150" s="215" t="s">
        <v>1131</v>
      </c>
      <c r="C150" s="219" t="s">
        <v>14093</v>
      </c>
      <c r="D150" s="278" t="s">
        <v>14093</v>
      </c>
      <c r="E150" s="215" t="s">
        <v>13324</v>
      </c>
      <c r="F150" s="215" t="str">
        <f ca="1">IF(ISERROR($V150),"",OFFSET('Smelter Look-up'!$E$4,$V150-4,0))</f>
        <v>CID003387</v>
      </c>
      <c r="G150" s="215" t="str">
        <f ca="1">IF(C150=$X$4,"Enter smelter details",IF(ISERROR($V150),"",OFFSET('Smelter Look-up'!$F$4,$V150-4,0)))</f>
        <v>RMI</v>
      </c>
      <c r="H150" s="216" t="s">
        <v>15997</v>
      </c>
      <c r="I150" s="217" t="s">
        <v>14120</v>
      </c>
      <c r="J150" s="217" t="s">
        <v>10275</v>
      </c>
      <c r="K150" s="268"/>
      <c r="L150" s="268"/>
      <c r="M150" s="268"/>
      <c r="N150" s="268" t="s">
        <v>15998</v>
      </c>
      <c r="O150" s="268" t="s">
        <v>15999</v>
      </c>
      <c r="P150" s="218"/>
      <c r="Q150" s="269" t="s">
        <v>15609</v>
      </c>
      <c r="R150" s="215" t="str">
        <f ca="1">IF(ISERROR($V150),"",OFFSET('Smelter Look-up'!$C$4,$V150-4,0)&amp;"")</f>
        <v>Luna Smelter, Ltd.</v>
      </c>
      <c r="S150" s="222" t="str">
        <f t="shared" ca="1" si="21"/>
        <v>RW</v>
      </c>
      <c r="T150" s="222" t="str">
        <f ca="1">IF(B150="","",IF(ISERROR(MATCH($J150,SorP!$B$1:$B$6230,0)),"",INDIRECT("'SorP'!$A$"&amp;MATCH($J150,SorP!$B$1:$B$6230,0))))</f>
        <v>RW-01</v>
      </c>
      <c r="U150" s="238"/>
      <c r="V150" s="270">
        <f>IF(C150="",NA(),MATCH($B150&amp;$C150,'Smelter Look-up'!$J:$J,0))</f>
        <v>446</v>
      </c>
      <c r="W150" s="271"/>
      <c r="X150" s="271">
        <f t="shared" si="22"/>
        <v>0</v>
      </c>
      <c r="Y150" s="271"/>
      <c r="Z150" s="271"/>
      <c r="AB150" s="273" t="str">
        <f t="shared" si="23"/>
        <v>TinLuna Smelter, Ltd.</v>
      </c>
    </row>
    <row r="151" spans="1:28" s="272" customFormat="1" ht="76.5">
      <c r="A151" s="215" t="s">
        <v>15404</v>
      </c>
      <c r="B151" s="215" t="s">
        <v>1131</v>
      </c>
      <c r="C151" s="219" t="s">
        <v>15403</v>
      </c>
      <c r="D151" s="278" t="s">
        <v>15403</v>
      </c>
      <c r="E151" s="215" t="s">
        <v>1105</v>
      </c>
      <c r="F151" s="215" t="str">
        <f ca="1">IF(ISERROR($V151),"",OFFSET('Smelter Look-up'!$E$4,$V151-4,0))</f>
        <v>CID003381</v>
      </c>
      <c r="G151" s="215" t="str">
        <f ca="1">IF(C151=$X$4,"Enter smelter details",IF(ISERROR($V151),"",OFFSET('Smelter Look-up'!$F$4,$V151-4,0)))</f>
        <v>RMI</v>
      </c>
      <c r="H151" s="216" t="s">
        <v>16000</v>
      </c>
      <c r="I151" s="217" t="s">
        <v>15445</v>
      </c>
      <c r="J151" s="217" t="s">
        <v>16001</v>
      </c>
      <c r="K151" s="268"/>
      <c r="L151" s="268"/>
      <c r="M151" s="268"/>
      <c r="N151" s="268" t="s">
        <v>16002</v>
      </c>
      <c r="O151" s="268" t="s">
        <v>16003</v>
      </c>
      <c r="P151" s="218"/>
      <c r="Q151" s="269" t="s">
        <v>15609</v>
      </c>
      <c r="R151" s="215" t="str">
        <f ca="1">IF(ISERROR($V151),"",OFFSET('Smelter Look-up'!$C$4,$V151-4,0)&amp;"")</f>
        <v>PT Rajawali Rimba Perkasa</v>
      </c>
      <c r="S151" s="222" t="str">
        <f t="shared" ca="1" si="21"/>
        <v>ID</v>
      </c>
      <c r="T151" s="222" t="str">
        <f ca="1">IF(B151="","",IF(ISERROR(MATCH($J151,SorP!$B$1:$B$6230,0)),"",INDIRECT("'SorP'!$A$"&amp;MATCH($J151,SorP!$B$1:$B$6230,0))))</f>
        <v/>
      </c>
      <c r="U151" s="238"/>
      <c r="V151" s="270">
        <f>IF(C151="",NA(),MATCH($B151&amp;$C151,'Smelter Look-up'!$J:$J,0))</f>
        <v>485</v>
      </c>
      <c r="W151" s="271"/>
      <c r="X151" s="271">
        <f t="shared" si="22"/>
        <v>0</v>
      </c>
      <c r="Y151" s="271"/>
      <c r="Z151" s="271"/>
      <c r="AB151" s="273" t="str">
        <f t="shared" si="23"/>
        <v>TinPT Rajawali Rimba Perkasa</v>
      </c>
    </row>
    <row r="152" spans="1:28" s="272" customFormat="1" ht="63.75">
      <c r="A152" s="215" t="s">
        <v>14028</v>
      </c>
      <c r="B152" s="215" t="s">
        <v>1131</v>
      </c>
      <c r="C152" s="219" t="s">
        <v>14027</v>
      </c>
      <c r="D152" s="278" t="s">
        <v>14027</v>
      </c>
      <c r="E152" s="215" t="s">
        <v>1100</v>
      </c>
      <c r="F152" s="215" t="str">
        <f ca="1">IF(ISERROR($V152),"",OFFSET('Smelter Look-up'!$E$4,$V152-4,0))</f>
        <v>CID003379</v>
      </c>
      <c r="G152" s="215" t="str">
        <f ca="1">IF(C152=$X$4,"Enter smelter details",IF(ISERROR($V152),"",OFFSET('Smelter Look-up'!$F$4,$V152-4,0)))</f>
        <v>RMI</v>
      </c>
      <c r="H152" s="216" t="s">
        <v>16004</v>
      </c>
      <c r="I152" s="217" t="s">
        <v>14066</v>
      </c>
      <c r="J152" s="217" t="s">
        <v>13840</v>
      </c>
      <c r="K152" s="268"/>
      <c r="L152" s="268"/>
      <c r="M152" s="268"/>
      <c r="N152" s="268" t="s">
        <v>16005</v>
      </c>
      <c r="O152" s="268" t="s">
        <v>16006</v>
      </c>
      <c r="P152" s="218"/>
      <c r="Q152" s="269" t="s">
        <v>15609</v>
      </c>
      <c r="R152" s="215" t="str">
        <f ca="1">IF(ISERROR($V152),"",OFFSET('Smelter Look-up'!$C$4,$V152-4,0)&amp;"")</f>
        <v>Ma'anshan Weitai Tin Co., Ltd.</v>
      </c>
      <c r="S152" s="222" t="str">
        <f t="shared" ca="1" si="21"/>
        <v>CN</v>
      </c>
      <c r="T152" s="222" t="str">
        <f ca="1">IF(B152="","",IF(ISERROR(MATCH($J152,SorP!$B$1:$B$6230,0)),"",INDIRECT("'SorP'!$A$"&amp;MATCH($J152,SorP!$B$1:$B$6230,0))))</f>
        <v>CN-AH</v>
      </c>
      <c r="U152" s="238"/>
      <c r="V152" s="270">
        <f>IF(C152="",NA(),MATCH($B152&amp;$C152,'Smelter Look-up'!$J:$J,0))</f>
        <v>447</v>
      </c>
      <c r="W152" s="271"/>
      <c r="X152" s="271">
        <f t="shared" si="22"/>
        <v>0</v>
      </c>
      <c r="Y152" s="271"/>
      <c r="Z152" s="271"/>
      <c r="AB152" s="273" t="str">
        <f t="shared" si="23"/>
        <v>TinMa'anshan Weitai Tin Co., Ltd.</v>
      </c>
    </row>
    <row r="153" spans="1:28" s="272" customFormat="1" ht="89.25">
      <c r="A153" s="215" t="s">
        <v>13403</v>
      </c>
      <c r="B153" s="215" t="s">
        <v>1131</v>
      </c>
      <c r="C153" s="219" t="s">
        <v>13402</v>
      </c>
      <c r="D153" s="278" t="s">
        <v>13402</v>
      </c>
      <c r="E153" s="215" t="s">
        <v>2463</v>
      </c>
      <c r="F153" s="215" t="str">
        <f ca="1">IF(ISERROR($V153),"",OFFSET('Smelter Look-up'!$E$4,$V153-4,0))</f>
        <v>CID003325</v>
      </c>
      <c r="G153" s="215" t="str">
        <f ca="1">IF(C153=$X$4,"Enter smelter details",IF(ISERROR($V153),"",OFFSET('Smelter Look-up'!$F$4,$V153-4,0)))</f>
        <v>RMI</v>
      </c>
      <c r="H153" s="216" t="s">
        <v>16007</v>
      </c>
      <c r="I153" s="217" t="s">
        <v>13404</v>
      </c>
      <c r="J153" s="217" t="s">
        <v>1749</v>
      </c>
      <c r="K153" s="268"/>
      <c r="L153" s="268"/>
      <c r="M153" s="268"/>
      <c r="N153" s="268" t="s">
        <v>16008</v>
      </c>
      <c r="O153" s="268" t="s">
        <v>16009</v>
      </c>
      <c r="P153" s="218"/>
      <c r="Q153" s="269" t="s">
        <v>15609</v>
      </c>
      <c r="R153" s="215" t="str">
        <f ca="1">IF(ISERROR($V153),"",OFFSET('Smelter Look-up'!$C$4,$V153-4,0)&amp;"")</f>
        <v>Tin Technology &amp; Refining</v>
      </c>
      <c r="S153" s="222" t="str">
        <f t="shared" ca="1" si="21"/>
        <v>US</v>
      </c>
      <c r="T153" s="222" t="str">
        <f ca="1">IF(B153="","",IF(ISERROR(MATCH($J153,SorP!$B$1:$B$6230,0)),"",INDIRECT("'SorP'!$A$"&amp;MATCH($J153,SorP!$B$1:$B$6230,0))))</f>
        <v>US-PA</v>
      </c>
      <c r="U153" s="238"/>
      <c r="V153" s="270">
        <f>IF(C153="",NA(),MATCH($B153&amp;$C153,'Smelter Look-up'!$J:$J,0))</f>
        <v>507</v>
      </c>
      <c r="W153" s="271"/>
      <c r="X153" s="271">
        <f t="shared" si="22"/>
        <v>0</v>
      </c>
      <c r="Y153" s="271"/>
      <c r="Z153" s="271"/>
      <c r="AB153" s="273" t="str">
        <f t="shared" si="23"/>
        <v>TinTin Technology &amp; Refining</v>
      </c>
    </row>
    <row r="154" spans="1:28" s="272" customFormat="1" ht="153">
      <c r="A154" s="215" t="s">
        <v>14272</v>
      </c>
      <c r="B154" s="215" t="s">
        <v>1131</v>
      </c>
      <c r="C154" s="219" t="s">
        <v>13153</v>
      </c>
      <c r="D154" s="278" t="s">
        <v>13153</v>
      </c>
      <c r="E154" s="215" t="s">
        <v>1105</v>
      </c>
      <c r="F154" s="215" t="str">
        <f ca="1">IF(ISERROR($V154),"",OFFSET('Smelter Look-up'!$E$4,$V154-4,0))</f>
        <v>CID003205</v>
      </c>
      <c r="G154" s="215" t="str">
        <f ca="1">IF(C154=$X$4,"Enter smelter details",IF(ISERROR($V154),"",OFFSET('Smelter Look-up'!$F$4,$V154-4,0)))</f>
        <v>RMI</v>
      </c>
      <c r="H154" s="216" t="s">
        <v>16010</v>
      </c>
      <c r="I154" s="217" t="s">
        <v>15442</v>
      </c>
      <c r="J154" s="217" t="s">
        <v>13066</v>
      </c>
      <c r="K154" s="268"/>
      <c r="L154" s="268"/>
      <c r="M154" s="268"/>
      <c r="N154" s="268" t="s">
        <v>15755</v>
      </c>
      <c r="O154" s="268" t="s">
        <v>16011</v>
      </c>
      <c r="P154" s="218"/>
      <c r="Q154" s="269" t="s">
        <v>15609</v>
      </c>
      <c r="R154" s="215" t="str">
        <f ca="1">IF(ISERROR($V154),"",OFFSET('Smelter Look-up'!$C$4,$V154-4,0)&amp;"")</f>
        <v>PT Bangka Serumpun</v>
      </c>
      <c r="S154" s="222" t="str">
        <f t="shared" ca="1" si="21"/>
        <v>ID</v>
      </c>
      <c r="T154" s="222" t="str">
        <f ca="1">IF(B154="","",IF(ISERROR(MATCH($J154,SorP!$B$1:$B$6230,0)),"",INDIRECT("'SorP'!$A$"&amp;MATCH($J154,SorP!$B$1:$B$6230,0))))</f>
        <v>ID-BB</v>
      </c>
      <c r="U154" s="238"/>
      <c r="V154" s="270">
        <f>IF(C154="",NA(),MATCH($B154&amp;$C154,'Smelter Look-up'!$J:$J,0))</f>
        <v>479</v>
      </c>
      <c r="W154" s="271"/>
      <c r="X154" s="271">
        <f t="shared" si="22"/>
        <v>0</v>
      </c>
      <c r="Y154" s="271"/>
      <c r="Z154" s="271"/>
      <c r="AB154" s="273" t="str">
        <f t="shared" si="23"/>
        <v>TinPT Bangka Serumpun</v>
      </c>
    </row>
    <row r="155" spans="1:28" s="272" customFormat="1" ht="114.75">
      <c r="A155" s="215" t="s">
        <v>13147</v>
      </c>
      <c r="B155" s="215" t="s">
        <v>1131</v>
      </c>
      <c r="C155" s="219" t="s">
        <v>13146</v>
      </c>
      <c r="D155" s="278" t="s">
        <v>13146</v>
      </c>
      <c r="E155" s="215" t="s">
        <v>1100</v>
      </c>
      <c r="F155" s="215" t="str">
        <f ca="1">IF(ISERROR($V155),"",OFFSET('Smelter Look-up'!$E$4,$V155-4,0))</f>
        <v>CID003190</v>
      </c>
      <c r="G155" s="215" t="str">
        <f ca="1">IF(C155=$X$4,"Enter smelter details",IF(ISERROR($V155),"",OFFSET('Smelter Look-up'!$F$4,$V155-4,0)))</f>
        <v>RMI</v>
      </c>
      <c r="H155" s="216" t="s">
        <v>16012</v>
      </c>
      <c r="I155" s="217" t="s">
        <v>13167</v>
      </c>
      <c r="J155" s="217" t="s">
        <v>13825</v>
      </c>
      <c r="K155" s="268"/>
      <c r="L155" s="268"/>
      <c r="M155" s="268"/>
      <c r="N155" s="268" t="s">
        <v>16013</v>
      </c>
      <c r="O155" s="268" t="s">
        <v>16014</v>
      </c>
      <c r="P155" s="218"/>
      <c r="Q155" s="269" t="s">
        <v>15609</v>
      </c>
      <c r="R155" s="215" t="str">
        <f ca="1">IF(ISERROR($V155),"",OFFSET('Smelter Look-up'!$C$4,$V155-4,0)&amp;"")</f>
        <v>Chifeng Dajingzi Tin Industry Co., Ltd.</v>
      </c>
      <c r="S155" s="222" t="str">
        <f t="shared" ca="1" si="21"/>
        <v>CN</v>
      </c>
      <c r="T155" s="222" t="str">
        <f ca="1">IF(B155="","",IF(ISERROR(MATCH($J155,SorP!$B$1:$B$6230,0)),"",INDIRECT("'SorP'!$A$"&amp;MATCH($J155,SorP!$B$1:$B$6230,0))))</f>
        <v>CN-NM</v>
      </c>
      <c r="U155" s="238"/>
      <c r="V155" s="270">
        <f>IF(C155="",NA(),MATCH($B155&amp;$C155,'Smelter Look-up'!$J:$J,0))</f>
        <v>393</v>
      </c>
      <c r="W155" s="271"/>
      <c r="X155" s="271">
        <f t="shared" si="22"/>
        <v>0</v>
      </c>
      <c r="Y155" s="271"/>
      <c r="Z155" s="271"/>
      <c r="AB155" s="273" t="str">
        <f t="shared" si="23"/>
        <v>TinChifeng Dajingzi Tin Industry Co., Ltd.</v>
      </c>
    </row>
    <row r="156" spans="1:28" s="272" customFormat="1" ht="165.75">
      <c r="A156" s="215" t="s">
        <v>2563</v>
      </c>
      <c r="B156" s="215" t="s">
        <v>1131</v>
      </c>
      <c r="C156" s="219" t="s">
        <v>2562</v>
      </c>
      <c r="D156" s="278" t="s">
        <v>2562</v>
      </c>
      <c r="E156" s="215" t="s">
        <v>1100</v>
      </c>
      <c r="F156" s="215" t="str">
        <f ca="1">IF(ISERROR($V156),"",OFFSET('Smelter Look-up'!$E$4,$V156-4,0))</f>
        <v>CID003116</v>
      </c>
      <c r="G156" s="215" t="str">
        <f ca="1">IF(C156=$X$4,"Enter smelter details",IF(ISERROR($V156),"",OFFSET('Smelter Look-up'!$F$4,$V156-4,0)))</f>
        <v>RMI</v>
      </c>
      <c r="H156" s="216" t="s">
        <v>16015</v>
      </c>
      <c r="I156" s="217" t="s">
        <v>1839</v>
      </c>
      <c r="J156" s="217" t="s">
        <v>13847</v>
      </c>
      <c r="K156" s="268"/>
      <c r="L156" s="268"/>
      <c r="M156" s="268"/>
      <c r="N156" s="268" t="s">
        <v>16016</v>
      </c>
      <c r="O156" s="268" t="s">
        <v>16017</v>
      </c>
      <c r="P156" s="218"/>
      <c r="Q156" s="269" t="s">
        <v>15609</v>
      </c>
      <c r="R156" s="215" t="str">
        <f ca="1">IF(ISERROR($V156),"",OFFSET('Smelter Look-up'!$C$4,$V156-4,0)&amp;"")</f>
        <v>Guangdong Hanhe Non-Ferrous Metal Co., Ltd.</v>
      </c>
      <c r="S156" s="222" t="str">
        <f t="shared" ca="1" si="21"/>
        <v>CN</v>
      </c>
      <c r="T156" s="222" t="str">
        <f ca="1">IF(B156="","",IF(ISERROR(MATCH($J156,SorP!$B$1:$B$6230,0)),"",INDIRECT("'SorP'!$A$"&amp;MATCH($J156,SorP!$B$1:$B$6230,0))))</f>
        <v>CN-GD</v>
      </c>
      <c r="U156" s="238"/>
      <c r="V156" s="270">
        <f>IF(C156="",NA(),MATCH($B156&amp;$C156,'Smelter Look-up'!$J:$J,0))</f>
        <v>434</v>
      </c>
      <c r="W156" s="271"/>
      <c r="X156" s="271">
        <f t="shared" si="22"/>
        <v>0</v>
      </c>
      <c r="Y156" s="271"/>
      <c r="Z156" s="271"/>
      <c r="AB156" s="273" t="str">
        <f t="shared" si="23"/>
        <v>TinGuangdong Hanhe Non-Ferrous Metal Co., Ltd.</v>
      </c>
    </row>
    <row r="157" spans="1:28" s="272" customFormat="1" ht="76.5">
      <c r="A157" s="215" t="s">
        <v>2302</v>
      </c>
      <c r="B157" s="215" t="s">
        <v>1131</v>
      </c>
      <c r="C157" s="219" t="s">
        <v>2301</v>
      </c>
      <c r="D157" s="278" t="s">
        <v>2301</v>
      </c>
      <c r="E157" s="215" t="s">
        <v>1100</v>
      </c>
      <c r="F157" s="215" t="str">
        <f ca="1">IF(ISERROR($V157),"",OFFSET('Smelter Look-up'!$E$4,$V157-4,0))</f>
        <v>CID002844</v>
      </c>
      <c r="G157" s="215" t="str">
        <f ca="1">IF(C157=$X$4,"Enter smelter details",IF(ISERROR($V157),"",OFFSET('Smelter Look-up'!$F$4,$V157-4,0)))</f>
        <v>RMI</v>
      </c>
      <c r="H157" s="216" t="s">
        <v>16018</v>
      </c>
      <c r="I157" s="217" t="s">
        <v>1787</v>
      </c>
      <c r="J157" s="217" t="s">
        <v>13842</v>
      </c>
      <c r="K157" s="268"/>
      <c r="L157" s="268"/>
      <c r="M157" s="268"/>
      <c r="N157" s="268" t="s">
        <v>16002</v>
      </c>
      <c r="O157" s="268" t="s">
        <v>16019</v>
      </c>
      <c r="P157" s="218"/>
      <c r="Q157" s="269" t="s">
        <v>15609</v>
      </c>
      <c r="R157" s="215" t="str">
        <f ca="1">IF(ISERROR($V157),"",OFFSET('Smelter Look-up'!$C$4,$V157-4,0)&amp;"")</f>
        <v>HuiChang Hill Tin Industry Co., Ltd.</v>
      </c>
      <c r="S157" s="222" t="str">
        <f t="shared" ca="1" si="21"/>
        <v>CN</v>
      </c>
      <c r="T157" s="222" t="str">
        <f ca="1">IF(B157="","",IF(ISERROR(MATCH($J157,SorP!$B$1:$B$6230,0)),"",INDIRECT("'SorP'!$A$"&amp;MATCH($J157,SorP!$B$1:$B$6230,0))))</f>
        <v>CN-JX</v>
      </c>
      <c r="U157" s="238"/>
      <c r="V157" s="270">
        <f>IF(C157="",NA(),MATCH($B157&amp;$C157,'Smelter Look-up'!$J:$J,0))</f>
        <v>437</v>
      </c>
      <c r="W157" s="271"/>
      <c r="X157" s="271">
        <f t="shared" si="22"/>
        <v>0</v>
      </c>
      <c r="Y157" s="271"/>
      <c r="Z157" s="271"/>
      <c r="AB157" s="273" t="str">
        <f t="shared" si="23"/>
        <v>TinHuiChang Hill Tin Industry Co., Ltd.</v>
      </c>
    </row>
    <row r="158" spans="1:28" s="272" customFormat="1" ht="76.5">
      <c r="A158" s="215" t="s">
        <v>15400</v>
      </c>
      <c r="B158" s="215" t="s">
        <v>1131</v>
      </c>
      <c r="C158" s="219" t="s">
        <v>15399</v>
      </c>
      <c r="D158" s="278" t="s">
        <v>15399</v>
      </c>
      <c r="E158" s="215" t="s">
        <v>1105</v>
      </c>
      <c r="F158" s="215" t="str">
        <f ca="1">IF(ISERROR($V158),"",OFFSET('Smelter Look-up'!$E$4,$V158-4,0))</f>
        <v>CID002835</v>
      </c>
      <c r="G158" s="215" t="str">
        <f ca="1">IF(C158=$X$4,"Enter smelter details",IF(ISERROR($V158),"",OFFSET('Smelter Look-up'!$F$4,$V158-4,0)))</f>
        <v>RMI</v>
      </c>
      <c r="H158" s="216" t="s">
        <v>16020</v>
      </c>
      <c r="I158" s="217" t="s">
        <v>15444</v>
      </c>
      <c r="J158" s="217" t="s">
        <v>13066</v>
      </c>
      <c r="K158" s="268"/>
      <c r="L158" s="268"/>
      <c r="M158" s="268"/>
      <c r="N158" s="268" t="s">
        <v>16021</v>
      </c>
      <c r="O158" s="268" t="s">
        <v>16022</v>
      </c>
      <c r="P158" s="218"/>
      <c r="Q158" s="269" t="s">
        <v>15609</v>
      </c>
      <c r="R158" s="215" t="str">
        <f ca="1">IF(ISERROR($V158),"",OFFSET('Smelter Look-up'!$C$4,$V158-4,0)&amp;"")</f>
        <v>PT Menara Cipta Mulia</v>
      </c>
      <c r="S158" s="222" t="str">
        <f t="shared" ca="1" si="21"/>
        <v>ID</v>
      </c>
      <c r="T158" s="222" t="str">
        <f ca="1">IF(B158="","",IF(ISERROR(MATCH($J158,SorP!$B$1:$B$6230,0)),"",INDIRECT("'SorP'!$A$"&amp;MATCH($J158,SorP!$B$1:$B$6230,0))))</f>
        <v>ID-BB</v>
      </c>
      <c r="U158" s="238"/>
      <c r="V158" s="270">
        <f>IF(C158="",NA(),MATCH($B158&amp;$C158,'Smelter Look-up'!$J:$J,0))</f>
        <v>481</v>
      </c>
      <c r="W158" s="271"/>
      <c r="X158" s="271">
        <f t="shared" si="22"/>
        <v>0</v>
      </c>
      <c r="Y158" s="271"/>
      <c r="Z158" s="271"/>
      <c r="AB158" s="273" t="str">
        <f t="shared" si="23"/>
        <v>TinPT Menara Cipta Mulia</v>
      </c>
    </row>
    <row r="159" spans="1:28" s="272" customFormat="1" ht="89.25">
      <c r="A159" s="215" t="s">
        <v>14034</v>
      </c>
      <c r="B159" s="215" t="s">
        <v>1131</v>
      </c>
      <c r="C159" s="219" t="s">
        <v>14033</v>
      </c>
      <c r="D159" s="278" t="s">
        <v>14033</v>
      </c>
      <c r="E159" s="215" t="s">
        <v>892</v>
      </c>
      <c r="F159" s="215" t="str">
        <f ca="1">IF(ISERROR($V159),"",OFFSET('Smelter Look-up'!$E$4,$V159-4,0))</f>
        <v>CID002834</v>
      </c>
      <c r="G159" s="215" t="str">
        <f ca="1">IF(C159=$X$4,"Enter smelter details",IF(ISERROR($V159),"",OFFSET('Smelter Look-up'!$F$4,$V159-4,0)))</f>
        <v>RMI</v>
      </c>
      <c r="H159" s="216" t="s">
        <v>16023</v>
      </c>
      <c r="I159" s="217" t="s">
        <v>14060</v>
      </c>
      <c r="J159" s="217" t="s">
        <v>12344</v>
      </c>
      <c r="K159" s="268"/>
      <c r="L159" s="268"/>
      <c r="M159" s="268"/>
      <c r="N159" s="268" t="s">
        <v>16024</v>
      </c>
      <c r="O159" s="268" t="s">
        <v>16025</v>
      </c>
      <c r="P159" s="218"/>
      <c r="Q159" s="269" t="s">
        <v>15609</v>
      </c>
      <c r="R159" s="215" t="str">
        <f ca="1">IF(ISERROR($V159),"",OFFSET('Smelter Look-up'!$C$4,$V159-4,0)&amp;"")</f>
        <v>Thai Nguyen Mining and Metallurgy Co., Ltd.</v>
      </c>
      <c r="S159" s="222" t="str">
        <f t="shared" ca="1" si="21"/>
        <v>VN</v>
      </c>
      <c r="T159" s="222" t="str">
        <f ca="1">IF(B159="","",IF(ISERROR(MATCH($J159,SorP!$B$1:$B$6230,0)),"",INDIRECT("'SorP'!$A$"&amp;MATCH($J159,SorP!$B$1:$B$6230,0))))</f>
        <v>VN-69</v>
      </c>
      <c r="U159" s="238"/>
      <c r="V159" s="270">
        <f>IF(C159="",NA(),MATCH($B159&amp;$C159,'Smelter Look-up'!$J:$J,0))</f>
        <v>501</v>
      </c>
      <c r="W159" s="271"/>
      <c r="X159" s="271">
        <f t="shared" si="22"/>
        <v>0</v>
      </c>
      <c r="Y159" s="271"/>
      <c r="Z159" s="271"/>
      <c r="AB159" s="273" t="str">
        <f t="shared" si="23"/>
        <v>TinThai Nguyen Mining and Metallurgy Co., Ltd.</v>
      </c>
    </row>
    <row r="160" spans="1:28" s="272" customFormat="1" ht="204">
      <c r="A160" s="215" t="s">
        <v>1832</v>
      </c>
      <c r="B160" s="215" t="s">
        <v>1131</v>
      </c>
      <c r="C160" s="219" t="s">
        <v>13150</v>
      </c>
      <c r="D160" s="278" t="s">
        <v>13150</v>
      </c>
      <c r="E160" s="215" t="s">
        <v>1102</v>
      </c>
      <c r="F160" s="215" t="str">
        <f ca="1">IF(ISERROR($V160),"",OFFSET('Smelter Look-up'!$E$4,$V160-4,0))</f>
        <v>CID002774</v>
      </c>
      <c r="G160" s="215" t="str">
        <f ca="1">IF(C160=$X$4,"Enter smelter details",IF(ISERROR($V160),"",OFFSET('Smelter Look-up'!$F$4,$V160-4,0)))</f>
        <v>RMI</v>
      </c>
      <c r="H160" s="216" t="s">
        <v>16026</v>
      </c>
      <c r="I160" s="217" t="s">
        <v>1833</v>
      </c>
      <c r="J160" s="217" t="s">
        <v>12624</v>
      </c>
      <c r="K160" s="268"/>
      <c r="L160" s="268"/>
      <c r="M160" s="268"/>
      <c r="N160" s="268" t="s">
        <v>16008</v>
      </c>
      <c r="O160" s="268" t="s">
        <v>16027</v>
      </c>
      <c r="P160" s="218"/>
      <c r="Q160" s="269" t="s">
        <v>15609</v>
      </c>
      <c r="R160" s="215" t="str">
        <f ca="1">IF(ISERROR($V160),"",OFFSET('Smelter Look-up'!$C$4,$V160-4,0)&amp;"")</f>
        <v>Metallo Spain S.L.U.</v>
      </c>
      <c r="S160" s="222" t="str">
        <f t="shared" ca="1" si="21"/>
        <v>ES</v>
      </c>
      <c r="T160" s="222" t="str">
        <f ca="1">IF(B160="","",IF(ISERROR(MATCH($J160,SorP!$B$1:$B$6230,0)),"",INDIRECT("'SorP'!$A$"&amp;MATCH($J160,SorP!$B$1:$B$6230,0))))</f>
        <v>ES-BI</v>
      </c>
      <c r="U160" s="238"/>
      <c r="V160" s="270">
        <f>IF(C160="",NA(),MATCH($B160&amp;$C160,'Smelter Look-up'!$J:$J,0))</f>
        <v>455</v>
      </c>
      <c r="W160" s="271"/>
      <c r="X160" s="271">
        <f t="shared" si="22"/>
        <v>0</v>
      </c>
      <c r="Y160" s="271"/>
      <c r="Z160" s="271"/>
      <c r="AB160" s="273" t="str">
        <f t="shared" si="23"/>
        <v>TinMetallo Spain S.L.U.</v>
      </c>
    </row>
    <row r="161" spans="1:28" s="272" customFormat="1" ht="280.5">
      <c r="A161" s="215" t="s">
        <v>1830</v>
      </c>
      <c r="B161" s="215" t="s">
        <v>1131</v>
      </c>
      <c r="C161" s="219" t="s">
        <v>13149</v>
      </c>
      <c r="D161" s="278" t="s">
        <v>13149</v>
      </c>
      <c r="E161" s="215" t="s">
        <v>1095</v>
      </c>
      <c r="F161" s="215" t="str">
        <f ca="1">IF(ISERROR($V161),"",OFFSET('Smelter Look-up'!$E$4,$V161-4,0))</f>
        <v>CID002773</v>
      </c>
      <c r="G161" s="215" t="str">
        <f ca="1">IF(C161=$X$4,"Enter smelter details",IF(ISERROR($V161),"",OFFSET('Smelter Look-up'!$F$4,$V161-4,0)))</f>
        <v>RMI</v>
      </c>
      <c r="H161" s="216" t="s">
        <v>16028</v>
      </c>
      <c r="I161" s="217" t="s">
        <v>1831</v>
      </c>
      <c r="J161" s="217" t="s">
        <v>3190</v>
      </c>
      <c r="K161" s="268"/>
      <c r="L161" s="268"/>
      <c r="M161" s="268"/>
      <c r="N161" s="268" t="s">
        <v>16029</v>
      </c>
      <c r="O161" s="268" t="s">
        <v>16030</v>
      </c>
      <c r="P161" s="218"/>
      <c r="Q161" s="269" t="s">
        <v>15609</v>
      </c>
      <c r="R161" s="215" t="str">
        <f ca="1">IF(ISERROR($V161),"",OFFSET('Smelter Look-up'!$C$4,$V161-4,0)&amp;"")</f>
        <v>Metallo Belgium N.V.</v>
      </c>
      <c r="S161" s="222" t="str">
        <f t="shared" ca="1" si="21"/>
        <v>BE</v>
      </c>
      <c r="T161" s="222" t="str">
        <f ca="1">IF(B161="","",IF(ISERROR(MATCH($J161,SorP!$B$1:$B$6230,0)),"",INDIRECT("'SorP'!$A$"&amp;MATCH($J161,SorP!$B$1:$B$6230,0))))</f>
        <v>BE-VAN</v>
      </c>
      <c r="U161" s="238"/>
      <c r="V161" s="270">
        <f>IF(C161="",NA(),MATCH($B161&amp;$C161,'Smelter Look-up'!$J:$J,0))</f>
        <v>454</v>
      </c>
      <c r="W161" s="271"/>
      <c r="X161" s="271">
        <f t="shared" si="22"/>
        <v>0</v>
      </c>
      <c r="Y161" s="271"/>
      <c r="Z161" s="271"/>
      <c r="AB161" s="273" t="str">
        <f t="shared" si="23"/>
        <v>TinMetallo Belgium N.V.</v>
      </c>
    </row>
    <row r="162" spans="1:28" s="272" customFormat="1" ht="178.5">
      <c r="A162" s="215" t="s">
        <v>1829</v>
      </c>
      <c r="B162" s="215" t="s">
        <v>1131</v>
      </c>
      <c r="C162" s="219" t="s">
        <v>12646</v>
      </c>
      <c r="D162" s="278" t="s">
        <v>12646</v>
      </c>
      <c r="E162" s="215" t="s">
        <v>1096</v>
      </c>
      <c r="F162" s="215" t="str">
        <f ca="1">IF(ISERROR($V162),"",OFFSET('Smelter Look-up'!$E$4,$V162-4,0))</f>
        <v>CID002706</v>
      </c>
      <c r="G162" s="215" t="str">
        <f ca="1">IF(C162=$X$4,"Enter smelter details",IF(ISERROR($V162),"",OFFSET('Smelter Look-up'!$F$4,$V162-4,0)))</f>
        <v>RMI</v>
      </c>
      <c r="H162" s="216" t="s">
        <v>15900</v>
      </c>
      <c r="I162" s="217" t="s">
        <v>15901</v>
      </c>
      <c r="J162" s="217" t="s">
        <v>1771</v>
      </c>
      <c r="K162" s="268"/>
      <c r="L162" s="268"/>
      <c r="M162" s="268"/>
      <c r="N162" s="268" t="s">
        <v>16002</v>
      </c>
      <c r="O162" s="268" t="s">
        <v>16031</v>
      </c>
      <c r="P162" s="218"/>
      <c r="Q162" s="269" t="s">
        <v>15609</v>
      </c>
      <c r="R162" s="215" t="str">
        <f ca="1">IF(ISERROR($V162),"",OFFSET('Smelter Look-up'!$C$4,$V162-4,0)&amp;"")</f>
        <v>Resind Industria e Comercio Ltda.</v>
      </c>
      <c r="S162" s="222" t="str">
        <f t="shared" ca="1" si="21"/>
        <v>BR</v>
      </c>
      <c r="T162" s="222" t="str">
        <f ca="1">IF(B162="","",IF(ISERROR(MATCH($J162,SorP!$B$1:$B$6230,0)),"",INDIRECT("'SorP'!$A$"&amp;MATCH($J162,SorP!$B$1:$B$6230,0))))</f>
        <v>BR-MG</v>
      </c>
      <c r="U162" s="238"/>
      <c r="V162" s="270">
        <f>IF(C162="",NA(),MATCH($B162&amp;$C162,'Smelter Look-up'!$J:$J,0))</f>
        <v>495</v>
      </c>
      <c r="W162" s="271"/>
      <c r="X162" s="271">
        <f t="shared" si="22"/>
        <v>0</v>
      </c>
      <c r="Y162" s="271"/>
      <c r="Z162" s="271"/>
      <c r="AB162" s="273" t="str">
        <f t="shared" si="23"/>
        <v>TinResind Industria e Comercio Ltda.</v>
      </c>
    </row>
    <row r="163" spans="1:28" s="272" customFormat="1" ht="165.75">
      <c r="A163" s="215" t="s">
        <v>15381</v>
      </c>
      <c r="B163" s="215" t="s">
        <v>1131</v>
      </c>
      <c r="C163" s="219" t="s">
        <v>15380</v>
      </c>
      <c r="D163" s="278" t="s">
        <v>15380</v>
      </c>
      <c r="E163" s="215" t="s">
        <v>1105</v>
      </c>
      <c r="F163" s="215" t="str">
        <f ca="1">IF(ISERROR($V163),"",OFFSET('Smelter Look-up'!$E$4,$V163-4,0))</f>
        <v>CID002593</v>
      </c>
      <c r="G163" s="215" t="str">
        <f ca="1">IF(C163=$X$4,"Enter smelter details",IF(ISERROR($V163),"",OFFSET('Smelter Look-up'!$F$4,$V163-4,0)))</f>
        <v>RMI</v>
      </c>
      <c r="H163" s="216" t="s">
        <v>16032</v>
      </c>
      <c r="I163" s="217" t="s">
        <v>15438</v>
      </c>
      <c r="J163" s="217" t="s">
        <v>13066</v>
      </c>
      <c r="K163" s="268"/>
      <c r="L163" s="268"/>
      <c r="M163" s="268"/>
      <c r="N163" s="268" t="s">
        <v>16021</v>
      </c>
      <c r="O163" s="268" t="s">
        <v>16033</v>
      </c>
      <c r="P163" s="218"/>
      <c r="Q163" s="269" t="s">
        <v>15609</v>
      </c>
      <c r="R163" s="215" t="str">
        <f ca="1">IF(ISERROR($V163),"",OFFSET('Smelter Look-up'!$C$4,$V163-4,0)&amp;"")</f>
        <v>PT Rajehan Ariq</v>
      </c>
      <c r="S163" s="222" t="str">
        <f t="shared" ca="1" si="21"/>
        <v>ID</v>
      </c>
      <c r="T163" s="222" t="str">
        <f ca="1">IF(B163="","",IF(ISERROR(MATCH($J163,SorP!$B$1:$B$6230,0)),"",INDIRECT("'SorP'!$A$"&amp;MATCH($J163,SorP!$B$1:$B$6230,0))))</f>
        <v>ID-BB</v>
      </c>
      <c r="U163" s="238"/>
      <c r="V163" s="270">
        <f>IF(C163="",NA(),MATCH($B163&amp;$C163,'Smelter Look-up'!$J:$J,0))</f>
        <v>486</v>
      </c>
      <c r="W163" s="271"/>
      <c r="X163" s="271">
        <f t="shared" si="22"/>
        <v>0</v>
      </c>
      <c r="Y163" s="271"/>
      <c r="Z163" s="271"/>
      <c r="AB163" s="273" t="str">
        <f t="shared" si="23"/>
        <v>TinPT Rajehan Ariq</v>
      </c>
    </row>
    <row r="164" spans="1:28" s="272" customFormat="1" ht="25.5">
      <c r="A164" s="215" t="s">
        <v>15375</v>
      </c>
      <c r="B164" s="215" t="s">
        <v>1131</v>
      </c>
      <c r="C164" s="219" t="s">
        <v>15374</v>
      </c>
      <c r="D164" s="278" t="s">
        <v>15374</v>
      </c>
      <c r="E164" s="215" t="s">
        <v>1105</v>
      </c>
      <c r="F164" s="215" t="str">
        <f ca="1">IF(ISERROR($V164),"",OFFSET('Smelter Look-up'!$E$4,$V164-4,0))</f>
        <v>CID002570</v>
      </c>
      <c r="G164" s="215" t="str">
        <f ca="1">IF(C164=$X$4,"Enter smelter details",IF(ISERROR($V164),"",OFFSET('Smelter Look-up'!$F$4,$V164-4,0)))</f>
        <v>RMI</v>
      </c>
      <c r="H164" s="216" t="s">
        <v>16034</v>
      </c>
      <c r="I164" s="217" t="s">
        <v>1780</v>
      </c>
      <c r="J164" s="217" t="s">
        <v>13066</v>
      </c>
      <c r="K164" s="268"/>
      <c r="L164" s="268"/>
      <c r="M164" s="268"/>
      <c r="N164" s="268"/>
      <c r="O164" s="268"/>
      <c r="P164" s="218"/>
      <c r="Q164" s="269"/>
      <c r="R164" s="215" t="str">
        <f ca="1">IF(ISERROR($V164),"",OFFSET('Smelter Look-up'!$C$4,$V164-4,0)&amp;"")</f>
        <v>CV Ayi Jaya</v>
      </c>
      <c r="S164" s="222" t="str">
        <f t="shared" ca="1" si="21"/>
        <v>ID</v>
      </c>
      <c r="T164" s="222" t="str">
        <f ca="1">IF(B164="","",IF(ISERROR(MATCH($J164,SorP!$B$1:$B$6230,0)),"",INDIRECT("'SorP'!$A$"&amp;MATCH($J164,SorP!$B$1:$B$6230,0))))</f>
        <v>ID-BB</v>
      </c>
      <c r="U164" s="238"/>
      <c r="V164" s="270">
        <f>IF(C164="",NA(),MATCH($B164&amp;$C164,'Smelter Look-up'!$J:$J,0))</f>
        <v>404</v>
      </c>
      <c r="W164" s="271"/>
      <c r="X164" s="271">
        <f t="shared" si="22"/>
        <v>0</v>
      </c>
      <c r="Y164" s="271"/>
      <c r="Z164" s="271"/>
      <c r="AB164" s="273" t="str">
        <f t="shared" si="23"/>
        <v>TinCV Ayi Jaya</v>
      </c>
    </row>
    <row r="165" spans="1:28" s="272" customFormat="1" ht="102">
      <c r="A165" s="215" t="s">
        <v>1402</v>
      </c>
      <c r="B165" s="215" t="s">
        <v>1131</v>
      </c>
      <c r="C165" s="219" t="s">
        <v>1401</v>
      </c>
      <c r="D165" s="278" t="s">
        <v>1401</v>
      </c>
      <c r="E165" s="215" t="s">
        <v>881</v>
      </c>
      <c r="F165" s="215" t="str">
        <f ca="1">IF(ISERROR($V165),"",OFFSET('Smelter Look-up'!$E$4,$V165-4,0))</f>
        <v>CID002517</v>
      </c>
      <c r="G165" s="215" t="str">
        <f ca="1">IF(C165=$X$4,"Enter smelter details",IF(ISERROR($V165),"",OFFSET('Smelter Look-up'!$F$4,$V165-4,0)))</f>
        <v>RMI</v>
      </c>
      <c r="H165" s="216" t="s">
        <v>16035</v>
      </c>
      <c r="I165" s="217" t="s">
        <v>13160</v>
      </c>
      <c r="J165" s="217" t="s">
        <v>9659</v>
      </c>
      <c r="K165" s="268"/>
      <c r="L165" s="268"/>
      <c r="M165" s="268"/>
      <c r="N165" s="268" t="s">
        <v>16036</v>
      </c>
      <c r="O165" s="268" t="s">
        <v>16037</v>
      </c>
      <c r="P165" s="218"/>
      <c r="Q165" s="269" t="s">
        <v>15609</v>
      </c>
      <c r="R165" s="215" t="str">
        <f ca="1">IF(ISERROR($V165),"",OFFSET('Smelter Look-up'!$C$4,$V165-4,0)&amp;"")</f>
        <v>O.M. Manufacturing Philippines, Inc.</v>
      </c>
      <c r="S165" s="222" t="str">
        <f t="shared" ca="1" si="21"/>
        <v>PH</v>
      </c>
      <c r="T165" s="222" t="str">
        <f ca="1">IF(B165="","",IF(ISERROR(MATCH($J165,SorP!$B$1:$B$6230,0)),"",INDIRECT("'SorP'!$A$"&amp;MATCH($J165,SorP!$B$1:$B$6230,0))))</f>
        <v>PH-CAV</v>
      </c>
      <c r="U165" s="238"/>
      <c r="V165" s="270">
        <f>IF(C165="",NA(),MATCH($B165&amp;$C165,'Smelter Look-up'!$J:$J,0))</f>
        <v>469</v>
      </c>
      <c r="W165" s="271"/>
      <c r="X165" s="271">
        <f t="shared" si="22"/>
        <v>0</v>
      </c>
      <c r="Y165" s="271"/>
      <c r="Z165" s="271"/>
      <c r="AB165" s="273" t="str">
        <f t="shared" si="23"/>
        <v>TinO.M. Manufacturing Philippines, Inc.</v>
      </c>
    </row>
    <row r="166" spans="1:28" s="272" customFormat="1" ht="318.75">
      <c r="A166" s="215" t="s">
        <v>1404</v>
      </c>
      <c r="B166" s="215" t="s">
        <v>1131</v>
      </c>
      <c r="C166" s="219" t="s">
        <v>1403</v>
      </c>
      <c r="D166" s="278" t="s">
        <v>1403</v>
      </c>
      <c r="E166" s="215" t="s">
        <v>1105</v>
      </c>
      <c r="F166" s="215" t="str">
        <f ca="1">IF(ISERROR($V166),"",OFFSET('Smelter Look-up'!$E$4,$V166-4,0))</f>
        <v>CID002503</v>
      </c>
      <c r="G166" s="215" t="str">
        <f ca="1">IF(C166=$X$4,"Enter smelter details",IF(ISERROR($V166),"",OFFSET('Smelter Look-up'!$F$4,$V166-4,0)))</f>
        <v>RMI</v>
      </c>
      <c r="H166" s="216" t="s">
        <v>16038</v>
      </c>
      <c r="I166" s="217" t="s">
        <v>1780</v>
      </c>
      <c r="J166" s="217" t="s">
        <v>13066</v>
      </c>
      <c r="K166" s="268"/>
      <c r="L166" s="268"/>
      <c r="M166" s="268"/>
      <c r="N166" s="268" t="s">
        <v>16039</v>
      </c>
      <c r="O166" s="268" t="s">
        <v>16040</v>
      </c>
      <c r="P166" s="218"/>
      <c r="Q166" s="269" t="s">
        <v>15609</v>
      </c>
      <c r="R166" s="215" t="str">
        <f ca="1">IF(ISERROR($V166),"",OFFSET('Smelter Look-up'!$C$4,$V166-4,0)&amp;"")</f>
        <v>PT ATD Makmur Mandiri Jaya</v>
      </c>
      <c r="S166" s="222" t="str">
        <f t="shared" ref="S166:S196" ca="1" si="24">IF(B166="","",IF(ISERROR(MATCH($E166,CL,0)),"Unknown",INDIRECT("'C'!$A$"&amp;MATCH($E166,CL,0)+1)))</f>
        <v>ID</v>
      </c>
      <c r="T166" s="222" t="str">
        <f ca="1">IF(B166="","",IF(ISERROR(MATCH($J166,SorP!$B$1:$B$6230,0)),"",INDIRECT("'SorP'!$A$"&amp;MATCH($J166,SorP!$B$1:$B$6230,0))))</f>
        <v>ID-BB</v>
      </c>
      <c r="U166" s="238"/>
      <c r="V166" s="270">
        <f>IF(C166="",NA(),MATCH($B166&amp;$C166,'Smelter Look-up'!$J:$J,0))</f>
        <v>477</v>
      </c>
      <c r="W166" s="271"/>
      <c r="X166" s="271">
        <f t="shared" ref="X166:X196" si="25">IF(AND(C166="Smelter not listed",OR(LEN(D166)=0,LEN(E166)=0)),1,0)</f>
        <v>0</v>
      </c>
      <c r="Y166" s="271"/>
      <c r="Z166" s="271"/>
      <c r="AB166" s="273" t="str">
        <f t="shared" ref="AB166:AB196" si="26">B166&amp;C166</f>
        <v>TinPT ATD Makmur Mandiri Jaya</v>
      </c>
    </row>
    <row r="167" spans="1:28" s="272" customFormat="1" ht="178.5">
      <c r="A167" s="215" t="s">
        <v>1326</v>
      </c>
      <c r="B167" s="215" t="s">
        <v>1131</v>
      </c>
      <c r="C167" s="219" t="s">
        <v>2367</v>
      </c>
      <c r="D167" s="278" t="s">
        <v>2367</v>
      </c>
      <c r="E167" s="215" t="s">
        <v>1096</v>
      </c>
      <c r="F167" s="215" t="str">
        <f ca="1">IF(ISERROR($V167),"",OFFSET('Smelter Look-up'!$E$4,$V167-4,0))</f>
        <v>CID002500</v>
      </c>
      <c r="G167" s="215" t="str">
        <f ca="1">IF(C167=$X$4,"Enter smelter details",IF(ISERROR($V167),"",OFFSET('Smelter Look-up'!$F$4,$V167-4,0)))</f>
        <v>RMI</v>
      </c>
      <c r="H167" s="216" t="s">
        <v>16041</v>
      </c>
      <c r="I167" s="217" t="s">
        <v>1779</v>
      </c>
      <c r="J167" s="217" t="s">
        <v>1783</v>
      </c>
      <c r="K167" s="268"/>
      <c r="L167" s="268"/>
      <c r="M167" s="268"/>
      <c r="N167" s="268" t="s">
        <v>16042</v>
      </c>
      <c r="O167" s="268" t="s">
        <v>16043</v>
      </c>
      <c r="P167" s="218"/>
      <c r="Q167" s="269" t="s">
        <v>15609</v>
      </c>
      <c r="R167" s="215" t="str">
        <f ca="1">IF(ISERROR($V167),"",OFFSET('Smelter Look-up'!$C$4,$V167-4,0)&amp;"")</f>
        <v>Melt Metais e Ligas S.A.</v>
      </c>
      <c r="S167" s="222" t="str">
        <f t="shared" ca="1" si="24"/>
        <v>BR</v>
      </c>
      <c r="T167" s="222" t="str">
        <f ca="1">IF(B167="","",IF(ISERROR(MATCH($J167,SorP!$B$1:$B$6230,0)),"",INDIRECT("'SorP'!$A$"&amp;MATCH($J167,SorP!$B$1:$B$6230,0))))</f>
        <v>BR-RO</v>
      </c>
      <c r="U167" s="238"/>
      <c r="V167" s="270">
        <f>IF(C167="",NA(),MATCH($B167&amp;$C167,'Smelter Look-up'!$J:$J,0))</f>
        <v>450</v>
      </c>
      <c r="W167" s="271"/>
      <c r="X167" s="271">
        <f t="shared" si="25"/>
        <v>0</v>
      </c>
      <c r="Y167" s="271"/>
      <c r="Z167" s="271"/>
      <c r="AB167" s="273" t="str">
        <f t="shared" si="26"/>
        <v>TinMelt Metais e Ligas S.A.</v>
      </c>
    </row>
    <row r="168" spans="1:28" s="272" customFormat="1" ht="191.25">
      <c r="A168" s="215" t="s">
        <v>139</v>
      </c>
      <c r="B168" s="215" t="s">
        <v>1131</v>
      </c>
      <c r="C168" s="219" t="s">
        <v>2184</v>
      </c>
      <c r="D168" s="278" t="s">
        <v>2184</v>
      </c>
      <c r="E168" s="215" t="s">
        <v>1096</v>
      </c>
      <c r="F168" s="215" t="str">
        <f ca="1">IF(ISERROR($V168),"",OFFSET('Smelter Look-up'!$E$4,$V168-4,0))</f>
        <v>CID002468</v>
      </c>
      <c r="G168" s="215" t="str">
        <f ca="1">IF(C168=$X$4,"Enter smelter details",IF(ISERROR($V168),"",OFFSET('Smelter Look-up'!$F$4,$V168-4,0)))</f>
        <v>RMI</v>
      </c>
      <c r="H168" s="216" t="s">
        <v>16044</v>
      </c>
      <c r="I168" s="217" t="s">
        <v>15901</v>
      </c>
      <c r="J168" s="217" t="s">
        <v>1554</v>
      </c>
      <c r="K168" s="268"/>
      <c r="L168" s="268"/>
      <c r="M168" s="268"/>
      <c r="N168" s="268" t="s">
        <v>16045</v>
      </c>
      <c r="O168" s="268" t="s">
        <v>16046</v>
      </c>
      <c r="P168" s="218"/>
      <c r="Q168" s="269" t="s">
        <v>15609</v>
      </c>
      <c r="R168" s="215" t="str">
        <f ca="1">IF(ISERROR($V168),"",OFFSET('Smelter Look-up'!$C$4,$V168-4,0)&amp;"")</f>
        <v>Magnu's Minerais Metais e Ligas Ltda.</v>
      </c>
      <c r="S168" s="222" t="str">
        <f t="shared" ca="1" si="24"/>
        <v>BR</v>
      </c>
      <c r="T168" s="222" t="str">
        <f ca="1">IF(B168="","",IF(ISERROR(MATCH($J168,SorP!$B$1:$B$6230,0)),"",INDIRECT("'SorP'!$A$"&amp;MATCH($J168,SorP!$B$1:$B$6230,0))))</f>
        <v>BR-MG</v>
      </c>
      <c r="U168" s="238"/>
      <c r="V168" s="270">
        <f>IF(C168="",NA(),MATCH($B168&amp;$C168,'Smelter Look-up'!$J:$J,0))</f>
        <v>448</v>
      </c>
      <c r="W168" s="271"/>
      <c r="X168" s="271">
        <f t="shared" si="25"/>
        <v>0</v>
      </c>
      <c r="Y168" s="271"/>
      <c r="Z168" s="271"/>
      <c r="AB168" s="273" t="str">
        <f t="shared" si="26"/>
        <v>TinMagnu's Minerais Metais e Ligas Ltda.</v>
      </c>
    </row>
    <row r="169" spans="1:28" s="272" customFormat="1" ht="51">
      <c r="A169" s="215" t="s">
        <v>15383</v>
      </c>
      <c r="B169" s="215" t="s">
        <v>1131</v>
      </c>
      <c r="C169" s="219" t="s">
        <v>15382</v>
      </c>
      <c r="D169" s="278" t="s">
        <v>15382</v>
      </c>
      <c r="E169" s="215" t="s">
        <v>1105</v>
      </c>
      <c r="F169" s="215" t="str">
        <f ca="1">IF(ISERROR($V169),"",OFFSET('Smelter Look-up'!$E$4,$V169-4,0))</f>
        <v>CID002455</v>
      </c>
      <c r="G169" s="215" t="str">
        <f ca="1">IF(C169=$X$4,"Enter smelter details",IF(ISERROR($V169),"",OFFSET('Smelter Look-up'!$F$4,$V169-4,0)))</f>
        <v>RMI</v>
      </c>
      <c r="H169" s="216" t="s">
        <v>16032</v>
      </c>
      <c r="I169" s="217" t="s">
        <v>15438</v>
      </c>
      <c r="J169" s="217" t="s">
        <v>13066</v>
      </c>
      <c r="K169" s="268"/>
      <c r="L169" s="268"/>
      <c r="M169" s="268"/>
      <c r="N169" s="268"/>
      <c r="O169" s="268"/>
      <c r="P169" s="218"/>
      <c r="Q169" s="269"/>
      <c r="R169" s="215" t="str">
        <f ca="1">IF(ISERROR($V169),"",OFFSET('Smelter Look-up'!$C$4,$V169-4,0)&amp;"")</f>
        <v>CV Venus Inti Perkasa</v>
      </c>
      <c r="S169" s="222" t="str">
        <f t="shared" ca="1" si="24"/>
        <v>ID</v>
      </c>
      <c r="T169" s="222" t="str">
        <f ca="1">IF(B169="","",IF(ISERROR(MATCH($J169,SorP!$B$1:$B$6230,0)),"",INDIRECT("'SorP'!$A$"&amp;MATCH($J169,SorP!$B$1:$B$6230,0))))</f>
        <v>ID-BB</v>
      </c>
      <c r="U169" s="238"/>
      <c r="V169" s="270">
        <f>IF(C169="",NA(),MATCH($B169&amp;$C169,'Smelter Look-up'!$J:$J,0))</f>
        <v>407</v>
      </c>
      <c r="W169" s="271"/>
      <c r="X169" s="271">
        <f t="shared" si="25"/>
        <v>0</v>
      </c>
      <c r="Y169" s="271"/>
      <c r="Z169" s="271"/>
      <c r="AB169" s="273" t="str">
        <f t="shared" si="26"/>
        <v>TinCV Venus Inti Perkasa</v>
      </c>
    </row>
    <row r="170" spans="1:28" s="272" customFormat="1" ht="242.25">
      <c r="A170" s="215" t="s">
        <v>791</v>
      </c>
      <c r="B170" s="215" t="s">
        <v>1131</v>
      </c>
      <c r="C170" s="219" t="s">
        <v>2370</v>
      </c>
      <c r="D170" s="278" t="s">
        <v>2370</v>
      </c>
      <c r="E170" s="215" t="s">
        <v>1100</v>
      </c>
      <c r="F170" s="215" t="str">
        <f ca="1">IF(ISERROR($V170),"",OFFSET('Smelter Look-up'!$E$4,$V170-4,0))</f>
        <v>CID002180</v>
      </c>
      <c r="G170" s="215" t="str">
        <f ca="1">IF(C170=$X$4,"Enter smelter details",IF(ISERROR($V170),"",OFFSET('Smelter Look-up'!$F$4,$V170-4,0)))</f>
        <v>RMI</v>
      </c>
      <c r="H170" s="216" t="s">
        <v>15994</v>
      </c>
      <c r="I170" s="217" t="s">
        <v>2477</v>
      </c>
      <c r="J170" s="217" t="s">
        <v>13851</v>
      </c>
      <c r="K170" s="268"/>
      <c r="L170" s="268"/>
      <c r="M170" s="268"/>
      <c r="N170" s="268" t="s">
        <v>16047</v>
      </c>
      <c r="O170" s="268" t="s">
        <v>16048</v>
      </c>
      <c r="P170" s="218"/>
      <c r="Q170" s="269"/>
      <c r="R170" s="215" t="str">
        <f ca="1">IF(ISERROR($V170),"",OFFSET('Smelter Look-up'!$C$4,$V170-4,0)&amp;"")</f>
        <v>Yunnan Tin Company Limited</v>
      </c>
      <c r="S170" s="222" t="str">
        <f t="shared" ca="1" si="24"/>
        <v>CN</v>
      </c>
      <c r="T170" s="222" t="str">
        <f ca="1">IF(B170="","",IF(ISERROR(MATCH($J170,SorP!$B$1:$B$6230,0)),"",INDIRECT("'SorP'!$A$"&amp;MATCH($J170,SorP!$B$1:$B$6230,0))))</f>
        <v>CN-YN</v>
      </c>
      <c r="U170" s="238"/>
      <c r="V170" s="270">
        <f>IF(C170="",NA(),MATCH($B170&amp;$C170,'Smelter Look-up'!$J:$J,0))</f>
        <v>524</v>
      </c>
      <c r="W170" s="271"/>
      <c r="X170" s="271">
        <f t="shared" si="25"/>
        <v>0</v>
      </c>
      <c r="Y170" s="271"/>
      <c r="Z170" s="271"/>
      <c r="AB170" s="273" t="str">
        <f t="shared" si="26"/>
        <v>TinYunnan Tin Company Limited</v>
      </c>
    </row>
    <row r="171" spans="1:28" s="272" customFormat="1" ht="127.5">
      <c r="A171" s="215" t="s">
        <v>790</v>
      </c>
      <c r="B171" s="215" t="s">
        <v>1131</v>
      </c>
      <c r="C171" s="219" t="s">
        <v>2183</v>
      </c>
      <c r="D171" s="278" t="s">
        <v>2183</v>
      </c>
      <c r="E171" s="215" t="s">
        <v>1100</v>
      </c>
      <c r="F171" s="215" t="str">
        <f ca="1">IF(ISERROR($V171),"",OFFSET('Smelter Look-up'!$E$4,$V171-4,0))</f>
        <v>CID002158</v>
      </c>
      <c r="G171" s="215" t="str">
        <f ca="1">IF(C171=$X$4,"Enter smelter details",IF(ISERROR($V171),"",OFFSET('Smelter Look-up'!$F$4,$V171-4,0)))</f>
        <v>RMI</v>
      </c>
      <c r="H171" s="216" t="s">
        <v>15994</v>
      </c>
      <c r="I171" s="217" t="s">
        <v>2477</v>
      </c>
      <c r="J171" s="217" t="s">
        <v>13851</v>
      </c>
      <c r="K171" s="268"/>
      <c r="L171" s="268"/>
      <c r="M171" s="268"/>
      <c r="N171" s="268" t="s">
        <v>16049</v>
      </c>
      <c r="O171" s="268" t="s">
        <v>16050</v>
      </c>
      <c r="P171" s="218"/>
      <c r="Q171" s="269" t="s">
        <v>15609</v>
      </c>
      <c r="R171" s="215" t="str">
        <f ca="1">IF(ISERROR($V171),"",OFFSET('Smelter Look-up'!$C$4,$V171-4,0)&amp;"")</f>
        <v>Yunnan Chengfeng Non-ferrous Metals Co., Ltd.</v>
      </c>
      <c r="S171" s="222" t="str">
        <f t="shared" ca="1" si="24"/>
        <v>CN</v>
      </c>
      <c r="T171" s="222" t="str">
        <f ca="1">IF(B171="","",IF(ISERROR(MATCH($J171,SorP!$B$1:$B$6230,0)),"",INDIRECT("'SorP'!$A$"&amp;MATCH($J171,SorP!$B$1:$B$6230,0))))</f>
        <v>CN-YN</v>
      </c>
      <c r="U171" s="238"/>
      <c r="V171" s="270">
        <f>IF(C171="",NA(),MATCH($B171&amp;$C171,'Smelter Look-up'!$J:$J,0))</f>
        <v>520</v>
      </c>
      <c r="W171" s="271"/>
      <c r="X171" s="271">
        <f t="shared" si="25"/>
        <v>0</v>
      </c>
      <c r="Y171" s="271"/>
      <c r="Z171" s="271"/>
      <c r="AB171" s="273" t="str">
        <f t="shared" si="26"/>
        <v>TinYunnan Chengfeng Non-ferrous Metals Co., Ltd.</v>
      </c>
    </row>
    <row r="172" spans="1:28" s="272" customFormat="1" ht="242.25">
      <c r="A172" s="215" t="s">
        <v>789</v>
      </c>
      <c r="B172" s="215" t="s">
        <v>1131</v>
      </c>
      <c r="C172" s="219" t="s">
        <v>2566</v>
      </c>
      <c r="D172" s="278" t="s">
        <v>2566</v>
      </c>
      <c r="E172" s="215" t="s">
        <v>1096</v>
      </c>
      <c r="F172" s="215" t="str">
        <f ca="1">IF(ISERROR($V172),"",OFFSET('Smelter Look-up'!$E$4,$V172-4,0))</f>
        <v>CID002036</v>
      </c>
      <c r="G172" s="215" t="str">
        <f ca="1">IF(C172=$X$4,"Enter smelter details",IF(ISERROR($V172),"",OFFSET('Smelter Look-up'!$F$4,$V172-4,0)))</f>
        <v>RMI</v>
      </c>
      <c r="H172" s="216" t="s">
        <v>16041</v>
      </c>
      <c r="I172" s="217" t="s">
        <v>1779</v>
      </c>
      <c r="J172" s="217" t="s">
        <v>1783</v>
      </c>
      <c r="K172" s="268"/>
      <c r="L172" s="268"/>
      <c r="M172" s="268"/>
      <c r="N172" s="268" t="s">
        <v>16051</v>
      </c>
      <c r="O172" s="268" t="s">
        <v>16052</v>
      </c>
      <c r="P172" s="218"/>
      <c r="Q172" s="269" t="s">
        <v>15609</v>
      </c>
      <c r="R172" s="215" t="str">
        <f ca="1">IF(ISERROR($V172),"",OFFSET('Smelter Look-up'!$C$4,$V172-4,0)&amp;"")</f>
        <v>White Solder Metalurgia e Mineracao Ltda.</v>
      </c>
      <c r="S172" s="222" t="str">
        <f t="shared" ca="1" si="24"/>
        <v>BR</v>
      </c>
      <c r="T172" s="222" t="str">
        <f ca="1">IF(B172="","",IF(ISERROR(MATCH($J172,SorP!$B$1:$B$6230,0)),"",INDIRECT("'SorP'!$A$"&amp;MATCH($J172,SorP!$B$1:$B$6230,0))))</f>
        <v>BR-RO</v>
      </c>
      <c r="U172" s="238"/>
      <c r="V172" s="270">
        <f>IF(C172="",NA(),MATCH($B172&amp;$C172,'Smelter Look-up'!$J:$J,0))</f>
        <v>512</v>
      </c>
      <c r="W172" s="271"/>
      <c r="X172" s="271">
        <f t="shared" si="25"/>
        <v>0</v>
      </c>
      <c r="Y172" s="271"/>
      <c r="Z172" s="271"/>
      <c r="AB172" s="273" t="str">
        <f t="shared" si="26"/>
        <v>TinWhite Solder Metalurgia e Mineracao Ltda.</v>
      </c>
    </row>
    <row r="173" spans="1:28" s="272" customFormat="1" ht="165.75">
      <c r="A173" s="215" t="s">
        <v>1814</v>
      </c>
      <c r="B173" s="215" t="s">
        <v>1131</v>
      </c>
      <c r="C173" s="219" t="s">
        <v>1813</v>
      </c>
      <c r="D173" s="278" t="s">
        <v>1813</v>
      </c>
      <c r="E173" s="215" t="s">
        <v>1100</v>
      </c>
      <c r="F173" s="215" t="str">
        <f ca="1">IF(ISERROR($V173),"",OFFSET('Smelter Look-up'!$E$4,$V173-4,0))</f>
        <v>CID001908</v>
      </c>
      <c r="G173" s="215" t="str">
        <f ca="1">IF(C173=$X$4,"Enter smelter details",IF(ISERROR($V173),"",OFFSET('Smelter Look-up'!$F$4,$V173-4,0)))</f>
        <v>RMI</v>
      </c>
      <c r="H173" s="216" t="s">
        <v>15994</v>
      </c>
      <c r="I173" s="217" t="s">
        <v>2477</v>
      </c>
      <c r="J173" s="217" t="s">
        <v>13851</v>
      </c>
      <c r="K173" s="268"/>
      <c r="L173" s="268"/>
      <c r="M173" s="268"/>
      <c r="N173" s="268" t="s">
        <v>16053</v>
      </c>
      <c r="O173" s="268" t="s">
        <v>16054</v>
      </c>
      <c r="P173" s="218"/>
      <c r="Q173" s="269" t="s">
        <v>15609</v>
      </c>
      <c r="R173" s="215" t="str">
        <f ca="1">IF(ISERROR($V173),"",OFFSET('Smelter Look-up'!$C$4,$V173-4,0)&amp;"")</f>
        <v>Gejiu Yunxin Nonferrous Electrolysis Co., Ltd.</v>
      </c>
      <c r="S173" s="222" t="str">
        <f t="shared" ca="1" si="24"/>
        <v>CN</v>
      </c>
      <c r="T173" s="222" t="str">
        <f ca="1">IF(B173="","",IF(ISERROR(MATCH($J173,SorP!$B$1:$B$6230,0)),"",INDIRECT("'SorP'!$A$"&amp;MATCH($J173,SorP!$B$1:$B$6230,0))))</f>
        <v>CN-YN</v>
      </c>
      <c r="U173" s="238"/>
      <c r="V173" s="270">
        <f>IF(C173="",NA(),MATCH($B173&amp;$C173,'Smelter Look-up'!$J:$J,0))</f>
        <v>429</v>
      </c>
      <c r="W173" s="271"/>
      <c r="X173" s="271">
        <f t="shared" si="25"/>
        <v>0</v>
      </c>
      <c r="Y173" s="271"/>
      <c r="Z173" s="271"/>
      <c r="AB173" s="273" t="str">
        <f t="shared" si="26"/>
        <v>TinGejiu Yunxin Nonferrous Electrolysis Co., Ltd.</v>
      </c>
    </row>
    <row r="174" spans="1:28" s="272" customFormat="1" ht="409.5">
      <c r="A174" s="215" t="s">
        <v>788</v>
      </c>
      <c r="B174" s="215" t="s">
        <v>1131</v>
      </c>
      <c r="C174" s="219" t="s">
        <v>1031</v>
      </c>
      <c r="D174" s="278" t="s">
        <v>1031</v>
      </c>
      <c r="E174" s="215" t="s">
        <v>888</v>
      </c>
      <c r="F174" s="215" t="str">
        <f ca="1">IF(ISERROR($V174),"",OFFSET('Smelter Look-up'!$E$4,$V174-4,0))</f>
        <v>CID001898</v>
      </c>
      <c r="G174" s="215" t="str">
        <f ca="1">IF(C174=$X$4,"Enter smelter details",IF(ISERROR($V174),"",OFFSET('Smelter Look-up'!$F$4,$V174-4,0)))</f>
        <v>RMI</v>
      </c>
      <c r="H174" s="216" t="s">
        <v>16055</v>
      </c>
      <c r="I174" s="217" t="s">
        <v>1810</v>
      </c>
      <c r="J174" s="217" t="s">
        <v>1811</v>
      </c>
      <c r="K174" s="268"/>
      <c r="L174" s="268"/>
      <c r="M174" s="268"/>
      <c r="N174" s="268" t="s">
        <v>16056</v>
      </c>
      <c r="O174" s="268" t="s">
        <v>16057</v>
      </c>
      <c r="P174" s="218"/>
      <c r="Q174" s="269" t="s">
        <v>15609</v>
      </c>
      <c r="R174" s="215" t="str">
        <f ca="1">IF(ISERROR($V174),"",OFFSET('Smelter Look-up'!$C$4,$V174-4,0)&amp;"")</f>
        <v>Thaisarco</v>
      </c>
      <c r="S174" s="222" t="str">
        <f t="shared" ca="1" si="24"/>
        <v>TH</v>
      </c>
      <c r="T174" s="222" t="str">
        <f ca="1">IF(B174="","",IF(ISERROR(MATCH($J174,SorP!$B$1:$B$6230,0)),"",INDIRECT("'SorP'!$A$"&amp;MATCH($J174,SorP!$B$1:$B$6230,0))))</f>
        <v>TH-83</v>
      </c>
      <c r="U174" s="238"/>
      <c r="V174" s="270">
        <f>IF(C174="",NA(),MATCH($B174&amp;$C174,'Smelter Look-up'!$J:$J,0))</f>
        <v>504</v>
      </c>
      <c r="W174" s="271"/>
      <c r="X174" s="271">
        <f t="shared" si="25"/>
        <v>0</v>
      </c>
      <c r="Y174" s="271"/>
      <c r="Z174" s="271"/>
      <c r="AB174" s="273" t="str">
        <f t="shared" si="26"/>
        <v>TinThaisarco</v>
      </c>
    </row>
    <row r="175" spans="1:28" s="272" customFormat="1" ht="204">
      <c r="A175" s="215" t="s">
        <v>787</v>
      </c>
      <c r="B175" s="215" t="s">
        <v>1131</v>
      </c>
      <c r="C175" s="219" t="s">
        <v>2178</v>
      </c>
      <c r="D175" s="278" t="s">
        <v>2178</v>
      </c>
      <c r="E175" s="215" t="s">
        <v>1096</v>
      </c>
      <c r="F175" s="215" t="str">
        <f ca="1">IF(ISERROR($V175),"",OFFSET('Smelter Look-up'!$E$4,$V175-4,0))</f>
        <v>CID001758</v>
      </c>
      <c r="G175" s="215" t="str">
        <f ca="1">IF(C175=$X$4,"Enter smelter details",IF(ISERROR($V175),"",OFFSET('Smelter Look-up'!$F$4,$V175-4,0)))</f>
        <v>RMI</v>
      </c>
      <c r="H175" s="216" t="s">
        <v>16058</v>
      </c>
      <c r="I175" s="217" t="s">
        <v>1809</v>
      </c>
      <c r="J175" s="217" t="s">
        <v>1683</v>
      </c>
      <c r="K175" s="268"/>
      <c r="L175" s="268"/>
      <c r="M175" s="268"/>
      <c r="N175" s="268" t="s">
        <v>16059</v>
      </c>
      <c r="O175" s="268" t="s">
        <v>16060</v>
      </c>
      <c r="P175" s="218"/>
      <c r="Q175" s="269" t="s">
        <v>15609</v>
      </c>
      <c r="R175" s="215" t="str">
        <f ca="1">IF(ISERROR($V175),"",OFFSET('Smelter Look-up'!$C$4,$V175-4,0)&amp;"")</f>
        <v>Soft Metais Ltda.</v>
      </c>
      <c r="S175" s="222" t="str">
        <f t="shared" ca="1" si="24"/>
        <v>BR</v>
      </c>
      <c r="T175" s="222" t="str">
        <f ca="1">IF(B175="","",IF(ISERROR(MATCH($J175,SorP!$B$1:$B$6230,0)),"",INDIRECT("'SorP'!$A$"&amp;MATCH($J175,SorP!$B$1:$B$6230,0))))</f>
        <v>BR-SP</v>
      </c>
      <c r="U175" s="238"/>
      <c r="V175" s="270">
        <f>IF(C175="",NA(),MATCH($B175&amp;$C175,'Smelter Look-up'!$J:$J,0))</f>
        <v>499</v>
      </c>
      <c r="W175" s="271"/>
      <c r="X175" s="271">
        <f t="shared" si="25"/>
        <v>0</v>
      </c>
      <c r="Y175" s="271"/>
      <c r="Z175" s="271"/>
      <c r="AB175" s="273" t="str">
        <f t="shared" si="26"/>
        <v>TinSoft Metais Ltda.</v>
      </c>
    </row>
    <row r="176" spans="1:28" s="272" customFormat="1" ht="204">
      <c r="A176" s="215" t="s">
        <v>786</v>
      </c>
      <c r="B176" s="215" t="s">
        <v>1131</v>
      </c>
      <c r="C176" s="219" t="s">
        <v>785</v>
      </c>
      <c r="D176" s="278" t="s">
        <v>785</v>
      </c>
      <c r="E176" s="215" t="s">
        <v>2462</v>
      </c>
      <c r="F176" s="215" t="str">
        <f ca="1">IF(ISERROR($V176),"",OFFSET('Smelter Look-up'!$E$4,$V176-4,0))</f>
        <v>CID001539</v>
      </c>
      <c r="G176" s="215" t="str">
        <f ca="1">IF(C176=$X$4,"Enter smelter details",IF(ISERROR($V176),"",OFFSET('Smelter Look-up'!$F$4,$V176-4,0)))</f>
        <v>RMI</v>
      </c>
      <c r="H176" s="216" t="s">
        <v>16061</v>
      </c>
      <c r="I176" s="217" t="s">
        <v>1711</v>
      </c>
      <c r="J176" s="217" t="s">
        <v>1711</v>
      </c>
      <c r="K176" s="268"/>
      <c r="L176" s="268"/>
      <c r="M176" s="268"/>
      <c r="N176" s="268" t="s">
        <v>16062</v>
      </c>
      <c r="O176" s="268" t="s">
        <v>16063</v>
      </c>
      <c r="P176" s="218"/>
      <c r="Q176" s="269" t="s">
        <v>15609</v>
      </c>
      <c r="R176" s="215" t="str">
        <f ca="1">IF(ISERROR($V176),"",OFFSET('Smelter Look-up'!$C$4,$V176-4,0)&amp;"")</f>
        <v>Rui Da Hung</v>
      </c>
      <c r="S176" s="222" t="str">
        <f t="shared" ca="1" si="24"/>
        <v>TW</v>
      </c>
      <c r="T176" s="222" t="str">
        <f ca="1">IF(B176="","",IF(ISERROR(MATCH($J176,SorP!$B$1:$B$6230,0)),"",INDIRECT("'SorP'!$A$"&amp;MATCH($J176,SorP!$B$1:$B$6230,0))))</f>
        <v>TW-TAO</v>
      </c>
      <c r="U176" s="238"/>
      <c r="V176" s="270">
        <f>IF(C176="",NA(),MATCH($B176&amp;$C176,'Smelter Look-up'!$J:$J,0))</f>
        <v>497</v>
      </c>
      <c r="W176" s="271"/>
      <c r="X176" s="271">
        <f t="shared" si="25"/>
        <v>0</v>
      </c>
      <c r="Y176" s="271"/>
      <c r="Z176" s="271"/>
      <c r="AB176" s="273" t="str">
        <f t="shared" si="26"/>
        <v>TinRui Da Hung</v>
      </c>
    </row>
    <row r="177" spans="1:28" s="272" customFormat="1" ht="51">
      <c r="A177" s="215" t="s">
        <v>15410</v>
      </c>
      <c r="B177" s="215" t="s">
        <v>1131</v>
      </c>
      <c r="C177" s="219" t="s">
        <v>15409</v>
      </c>
      <c r="D177" s="278" t="s">
        <v>15409</v>
      </c>
      <c r="E177" s="215" t="s">
        <v>1105</v>
      </c>
      <c r="F177" s="215" t="str">
        <f ca="1">IF(ISERROR($V177),"",OFFSET('Smelter Look-up'!$E$4,$V177-4,0))</f>
        <v>CID001490</v>
      </c>
      <c r="G177" s="215" t="str">
        <f ca="1">IF(C177=$X$4,"Enter smelter details",IF(ISERROR($V177),"",OFFSET('Smelter Look-up'!$F$4,$V177-4,0)))</f>
        <v>RMI</v>
      </c>
      <c r="H177" s="216" t="s">
        <v>16032</v>
      </c>
      <c r="I177" s="217" t="s">
        <v>15438</v>
      </c>
      <c r="J177" s="217" t="s">
        <v>13066</v>
      </c>
      <c r="K177" s="268"/>
      <c r="L177" s="268"/>
      <c r="M177" s="268"/>
      <c r="N177" s="268" t="s">
        <v>16064</v>
      </c>
      <c r="O177" s="268" t="s">
        <v>16065</v>
      </c>
      <c r="P177" s="218"/>
      <c r="Q177" s="269" t="s">
        <v>15609</v>
      </c>
      <c r="R177" s="215" t="str">
        <f ca="1">IF(ISERROR($V177),"",OFFSET('Smelter Look-up'!$C$4,$V177-4,0)&amp;"")</f>
        <v>PT Tinindo Inter Nusa</v>
      </c>
      <c r="S177" s="222" t="str">
        <f t="shared" ca="1" si="24"/>
        <v>ID</v>
      </c>
      <c r="T177" s="222" t="str">
        <f ca="1">IF(B177="","",IF(ISERROR(MATCH($J177,SorP!$B$1:$B$6230,0)),"",INDIRECT("'SorP'!$A$"&amp;MATCH($J177,SorP!$B$1:$B$6230,0))))</f>
        <v>ID-BB</v>
      </c>
      <c r="U177" s="238"/>
      <c r="V177" s="270">
        <f>IF(C177="",NA(),MATCH($B177&amp;$C177,'Smelter Look-up'!$J:$J,0))</f>
        <v>493</v>
      </c>
      <c r="W177" s="271"/>
      <c r="X177" s="271">
        <f t="shared" si="25"/>
        <v>0</v>
      </c>
      <c r="Y177" s="271"/>
      <c r="Z177" s="271"/>
      <c r="AB177" s="273" t="str">
        <f t="shared" si="26"/>
        <v>TinPT Tinindo Inter Nusa</v>
      </c>
    </row>
    <row r="178" spans="1:28" s="272" customFormat="1" ht="216.75">
      <c r="A178" s="215" t="s">
        <v>784</v>
      </c>
      <c r="B178" s="215" t="s">
        <v>1131</v>
      </c>
      <c r="C178" s="219" t="s">
        <v>14025</v>
      </c>
      <c r="D178" s="278" t="s">
        <v>14025</v>
      </c>
      <c r="E178" s="215" t="s">
        <v>1105</v>
      </c>
      <c r="F178" s="215" t="str">
        <f ca="1">IF(ISERROR($V178),"",OFFSET('Smelter Look-up'!$E$4,$V178-4,0))</f>
        <v>CID001482</v>
      </c>
      <c r="G178" s="215" t="str">
        <f ca="1">IF(C178=$X$4,"Enter smelter details",IF(ISERROR($V178),"",OFFSET('Smelter Look-up'!$F$4,$V178-4,0)))</f>
        <v>RMI</v>
      </c>
      <c r="H178" s="216" t="s">
        <v>16066</v>
      </c>
      <c r="I178" s="217" t="s">
        <v>1808</v>
      </c>
      <c r="J178" s="217" t="s">
        <v>13066</v>
      </c>
      <c r="K178" s="268"/>
      <c r="L178" s="268"/>
      <c r="M178" s="268"/>
      <c r="N178" s="268" t="s">
        <v>16067</v>
      </c>
      <c r="O178" s="268" t="s">
        <v>16068</v>
      </c>
      <c r="P178" s="218"/>
      <c r="Q178" s="269" t="s">
        <v>15609</v>
      </c>
      <c r="R178" s="215" t="str">
        <f ca="1">IF(ISERROR($V178),"",OFFSET('Smelter Look-up'!$C$4,$V178-4,0)&amp;"")</f>
        <v>PT Timah Tbk Mentok</v>
      </c>
      <c r="S178" s="222" t="str">
        <f t="shared" ca="1" si="24"/>
        <v>ID</v>
      </c>
      <c r="T178" s="222" t="str">
        <f ca="1">IF(B178="","",IF(ISERROR(MATCH($J178,SorP!$B$1:$B$6230,0)),"",INDIRECT("'SorP'!$A$"&amp;MATCH($J178,SorP!$B$1:$B$6230,0))))</f>
        <v>ID-BB</v>
      </c>
      <c r="U178" s="238"/>
      <c r="V178" s="270">
        <f>IF(C178="",NA(),MATCH($B178&amp;$C178,'Smelter Look-up'!$J:$J,0))</f>
        <v>492</v>
      </c>
      <c r="W178" s="271"/>
      <c r="X178" s="271">
        <f t="shared" si="25"/>
        <v>0</v>
      </c>
      <c r="Y178" s="271"/>
      <c r="Z178" s="271"/>
      <c r="AB178" s="273" t="str">
        <f t="shared" si="26"/>
        <v>TinPT Timah Tbk Mentok</v>
      </c>
    </row>
    <row r="179" spans="1:28" s="272" customFormat="1" ht="191.25">
      <c r="A179" s="215" t="s">
        <v>804</v>
      </c>
      <c r="B179" s="215" t="s">
        <v>1131</v>
      </c>
      <c r="C179" s="219" t="s">
        <v>14026</v>
      </c>
      <c r="D179" s="278" t="s">
        <v>14026</v>
      </c>
      <c r="E179" s="215" t="s">
        <v>1105</v>
      </c>
      <c r="F179" s="215" t="str">
        <f ca="1">IF(ISERROR($V179),"",OFFSET('Smelter Look-up'!$E$4,$V179-4,0))</f>
        <v>CID001477</v>
      </c>
      <c r="G179" s="215" t="str">
        <f ca="1">IF(C179=$X$4,"Enter smelter details",IF(ISERROR($V179),"",OFFSET('Smelter Look-up'!$F$4,$V179-4,0)))</f>
        <v>RMI</v>
      </c>
      <c r="H179" s="216" t="s">
        <v>16069</v>
      </c>
      <c r="I179" s="217" t="s">
        <v>1806</v>
      </c>
      <c r="J179" s="217" t="s">
        <v>6135</v>
      </c>
      <c r="K179" s="268"/>
      <c r="L179" s="268"/>
      <c r="M179" s="268"/>
      <c r="N179" s="268" t="s">
        <v>16070</v>
      </c>
      <c r="O179" s="268" t="s">
        <v>16071</v>
      </c>
      <c r="P179" s="218"/>
      <c r="Q179" s="269" t="s">
        <v>15609</v>
      </c>
      <c r="R179" s="215" t="str">
        <f ca="1">IF(ISERROR($V179),"",OFFSET('Smelter Look-up'!$C$4,$V179-4,0)&amp;"")</f>
        <v>PT Timah Tbk Kundur</v>
      </c>
      <c r="S179" s="222" t="str">
        <f t="shared" ca="1" si="24"/>
        <v>ID</v>
      </c>
      <c r="T179" s="222" t="str">
        <f ca="1">IF(B179="","",IF(ISERROR(MATCH($J179,SorP!$B$1:$B$6230,0)),"",INDIRECT("'SorP'!$A$"&amp;MATCH($J179,SorP!$B$1:$B$6230,0))))</f>
        <v>ID-RI</v>
      </c>
      <c r="U179" s="238"/>
      <c r="V179" s="270">
        <f>IF(C179="",NA(),MATCH($B179&amp;$C179,'Smelter Look-up'!$J:$J,0))</f>
        <v>491</v>
      </c>
      <c r="W179" s="271"/>
      <c r="X179" s="271">
        <f t="shared" si="25"/>
        <v>0</v>
      </c>
      <c r="Y179" s="271"/>
      <c r="Z179" s="271"/>
      <c r="AB179" s="273" t="str">
        <f t="shared" si="26"/>
        <v>TinPT Timah Tbk Kundur</v>
      </c>
    </row>
    <row r="180" spans="1:28" s="272" customFormat="1" ht="51">
      <c r="A180" s="215" t="s">
        <v>15406</v>
      </c>
      <c r="B180" s="215" t="s">
        <v>1131</v>
      </c>
      <c r="C180" s="219" t="s">
        <v>15405</v>
      </c>
      <c r="D180" s="278" t="s">
        <v>15405</v>
      </c>
      <c r="E180" s="215" t="s">
        <v>1105</v>
      </c>
      <c r="F180" s="215" t="str">
        <f ca="1">IF(ISERROR($V180),"",OFFSET('Smelter Look-up'!$E$4,$V180-4,0))</f>
        <v>CID001468</v>
      </c>
      <c r="G180" s="215" t="str">
        <f ca="1">IF(C180=$X$4,"Enter smelter details",IF(ISERROR($V180),"",OFFSET('Smelter Look-up'!$F$4,$V180-4,0)))</f>
        <v>RMI</v>
      </c>
      <c r="H180" s="216" t="s">
        <v>16072</v>
      </c>
      <c r="I180" s="217" t="s">
        <v>15438</v>
      </c>
      <c r="J180" s="217" t="s">
        <v>13066</v>
      </c>
      <c r="K180" s="268"/>
      <c r="L180" s="268"/>
      <c r="M180" s="268"/>
      <c r="N180" s="268" t="s">
        <v>16073</v>
      </c>
      <c r="O180" s="268" t="s">
        <v>16074</v>
      </c>
      <c r="P180" s="218"/>
      <c r="Q180" s="269" t="s">
        <v>15609</v>
      </c>
      <c r="R180" s="215" t="str">
        <f ca="1">IF(ISERROR($V180),"",OFFSET('Smelter Look-up'!$C$4,$V180-4,0)&amp;"")</f>
        <v>PT Stanindo Inti Perkasa</v>
      </c>
      <c r="S180" s="222" t="str">
        <f t="shared" ca="1" si="24"/>
        <v>ID</v>
      </c>
      <c r="T180" s="222" t="str">
        <f ca="1">IF(B180="","",IF(ISERROR(MATCH($J180,SorP!$B$1:$B$6230,0)),"",INDIRECT("'SorP'!$A$"&amp;MATCH($J180,SorP!$B$1:$B$6230,0))))</f>
        <v>ID-BB</v>
      </c>
      <c r="U180" s="238"/>
      <c r="V180" s="270">
        <f>IF(C180="",NA(),MATCH($B180&amp;$C180,'Smelter Look-up'!$J:$J,0))</f>
        <v>488</v>
      </c>
      <c r="W180" s="271"/>
      <c r="X180" s="271">
        <f t="shared" si="25"/>
        <v>0</v>
      </c>
      <c r="Y180" s="271"/>
      <c r="Z180" s="271"/>
      <c r="AB180" s="273" t="str">
        <f t="shared" si="26"/>
        <v>TinPT Stanindo Inti Perkasa</v>
      </c>
    </row>
    <row r="181" spans="1:28" s="272" customFormat="1" ht="229.5">
      <c r="A181" s="215" t="s">
        <v>783</v>
      </c>
      <c r="B181" s="215" t="s">
        <v>1131</v>
      </c>
      <c r="C181" s="219" t="s">
        <v>16075</v>
      </c>
      <c r="D181" s="278" t="s">
        <v>16075</v>
      </c>
      <c r="E181" s="215" t="s">
        <v>1105</v>
      </c>
      <c r="F181" s="215" t="str">
        <f ca="1">IF(ISERROR($V181),"",OFFSET('Smelter Look-up'!$E$4,$V181-4,0))</f>
        <v>CID001460</v>
      </c>
      <c r="G181" s="215" t="str">
        <f ca="1">IF(C181=$X$4,"Enter smelter details",IF(ISERROR($V181),"",OFFSET('Smelter Look-up'!$F$4,$V181-4,0)))</f>
        <v>RMI</v>
      </c>
      <c r="H181" s="216" t="s">
        <v>16038</v>
      </c>
      <c r="I181" s="217" t="s">
        <v>1780</v>
      </c>
      <c r="J181" s="217" t="s">
        <v>13066</v>
      </c>
      <c r="K181" s="268"/>
      <c r="L181" s="268"/>
      <c r="M181" s="268"/>
      <c r="N181" s="268" t="s">
        <v>16076</v>
      </c>
      <c r="O181" s="268" t="s">
        <v>16077</v>
      </c>
      <c r="P181" s="218"/>
      <c r="Q181" s="269" t="s">
        <v>15609</v>
      </c>
      <c r="R181" s="215" t="str">
        <f ca="1">IF(ISERROR($V181),"",OFFSET('Smelter Look-up'!$C$4,$V181-4,0)&amp;"")</f>
        <v>PT Refined Bangka Tin</v>
      </c>
      <c r="S181" s="222" t="str">
        <f t="shared" ca="1" si="24"/>
        <v>ID</v>
      </c>
      <c r="T181" s="222" t="str">
        <f ca="1">IF(B181="","",IF(ISERROR(MATCH($J181,SorP!$B$1:$B$6230,0)),"",INDIRECT("'SorP'!$A$"&amp;MATCH($J181,SorP!$B$1:$B$6230,0))))</f>
        <v>ID-BB</v>
      </c>
      <c r="U181" s="238"/>
      <c r="V181" s="270">
        <f>IF(C181="",NA(),MATCH($B181&amp;$C181,'Smelter Look-up'!$J:$J,0))</f>
        <v>487</v>
      </c>
      <c r="W181" s="271"/>
      <c r="X181" s="271">
        <f t="shared" si="25"/>
        <v>0</v>
      </c>
      <c r="Y181" s="271"/>
      <c r="Z181" s="271"/>
      <c r="AB181" s="273" t="str">
        <f t="shared" si="26"/>
        <v>TinPT REFINED BANGKA TIN</v>
      </c>
    </row>
    <row r="182" spans="1:28" s="272" customFormat="1" ht="89.25">
      <c r="A182" s="215" t="s">
        <v>15402</v>
      </c>
      <c r="B182" s="215" t="s">
        <v>1131</v>
      </c>
      <c r="C182" s="219" t="s">
        <v>15401</v>
      </c>
      <c r="D182" s="278" t="s">
        <v>15401</v>
      </c>
      <c r="E182" s="215" t="s">
        <v>1105</v>
      </c>
      <c r="F182" s="215" t="str">
        <f ca="1">IF(ISERROR($V182),"",OFFSET('Smelter Look-up'!$E$4,$V182-4,0))</f>
        <v>CID001458</v>
      </c>
      <c r="G182" s="215" t="str">
        <f ca="1">IF(C182=$X$4,"Enter smelter details",IF(ISERROR($V182),"",OFFSET('Smelter Look-up'!$F$4,$V182-4,0)))</f>
        <v>RMI</v>
      </c>
      <c r="H182" s="216" t="s">
        <v>16032</v>
      </c>
      <c r="I182" s="217" t="s">
        <v>15438</v>
      </c>
      <c r="J182" s="217" t="s">
        <v>13066</v>
      </c>
      <c r="K182" s="268"/>
      <c r="L182" s="268"/>
      <c r="M182" s="268"/>
      <c r="N182" s="268" t="s">
        <v>16078</v>
      </c>
      <c r="O182" s="268" t="s">
        <v>16079</v>
      </c>
      <c r="P182" s="218"/>
      <c r="Q182" s="269" t="s">
        <v>15609</v>
      </c>
      <c r="R182" s="215" t="str">
        <f ca="1">IF(ISERROR($V182),"",OFFSET('Smelter Look-up'!$C$4,$V182-4,0)&amp;"")</f>
        <v>PT Prima Timah Utama</v>
      </c>
      <c r="S182" s="222" t="str">
        <f t="shared" ca="1" si="24"/>
        <v>ID</v>
      </c>
      <c r="T182" s="222" t="str">
        <f ca="1">IF(B182="","",IF(ISERROR(MATCH($J182,SorP!$B$1:$B$6230,0)),"",INDIRECT("'SorP'!$A$"&amp;MATCH($J182,SorP!$B$1:$B$6230,0))))</f>
        <v>ID-BB</v>
      </c>
      <c r="U182" s="238"/>
      <c r="V182" s="270">
        <f>IF(C182="",NA(),MATCH($B182&amp;$C182,'Smelter Look-up'!$J:$J,0))</f>
        <v>484</v>
      </c>
      <c r="W182" s="271"/>
      <c r="X182" s="271">
        <f t="shared" si="25"/>
        <v>0</v>
      </c>
      <c r="Y182" s="271"/>
      <c r="Z182" s="271"/>
      <c r="AB182" s="273" t="str">
        <f t="shared" si="26"/>
        <v>TinPT Prima Timah Utama</v>
      </c>
    </row>
    <row r="183" spans="1:28" s="272" customFormat="1" ht="280.5">
      <c r="A183" s="215" t="s">
        <v>782</v>
      </c>
      <c r="B183" s="215" t="s">
        <v>1131</v>
      </c>
      <c r="C183" s="219" t="s">
        <v>627</v>
      </c>
      <c r="D183" s="278" t="s">
        <v>627</v>
      </c>
      <c r="E183" s="215" t="s">
        <v>1105</v>
      </c>
      <c r="F183" s="215" t="str">
        <f ca="1">IF(ISERROR($V183),"",OFFSET('Smelter Look-up'!$E$4,$V183-4,0))</f>
        <v>CID001453</v>
      </c>
      <c r="G183" s="215" t="str">
        <f ca="1">IF(C183=$X$4,"Enter smelter details",IF(ISERROR($V183),"",OFFSET('Smelter Look-up'!$F$4,$V183-4,0)))</f>
        <v>RMI</v>
      </c>
      <c r="H183" s="216" t="s">
        <v>16038</v>
      </c>
      <c r="I183" s="217" t="s">
        <v>1780</v>
      </c>
      <c r="J183" s="217" t="s">
        <v>13066</v>
      </c>
      <c r="K183" s="268"/>
      <c r="L183" s="268"/>
      <c r="M183" s="268"/>
      <c r="N183" s="268" t="s">
        <v>16080</v>
      </c>
      <c r="O183" s="268" t="s">
        <v>16081</v>
      </c>
      <c r="P183" s="218"/>
      <c r="Q183" s="269" t="s">
        <v>15609</v>
      </c>
      <c r="R183" s="215" t="str">
        <f ca="1">IF(ISERROR($V183),"",OFFSET('Smelter Look-up'!$C$4,$V183-4,0)&amp;"")</f>
        <v>PT Mitra Stania Prima</v>
      </c>
      <c r="S183" s="222" t="str">
        <f t="shared" ca="1" si="24"/>
        <v>ID</v>
      </c>
      <c r="T183" s="222" t="str">
        <f ca="1">IF(B183="","",IF(ISERROR(MATCH($J183,SorP!$B$1:$B$6230,0)),"",INDIRECT("'SorP'!$A$"&amp;MATCH($J183,SorP!$B$1:$B$6230,0))))</f>
        <v>ID-BB</v>
      </c>
      <c r="U183" s="238"/>
      <c r="V183" s="270">
        <f>IF(C183="",NA(),MATCH($B183&amp;$C183,'Smelter Look-up'!$J:$J,0))</f>
        <v>482</v>
      </c>
      <c r="W183" s="271"/>
      <c r="X183" s="271">
        <f t="shared" si="25"/>
        <v>0</v>
      </c>
      <c r="Y183" s="271"/>
      <c r="Z183" s="271"/>
      <c r="AB183" s="273" t="str">
        <f t="shared" si="26"/>
        <v>TinPT Mitra Stania Prima</v>
      </c>
    </row>
    <row r="184" spans="1:28" s="272" customFormat="1" ht="102">
      <c r="A184" s="215" t="s">
        <v>15396</v>
      </c>
      <c r="B184" s="215" t="s">
        <v>1131</v>
      </c>
      <c r="C184" s="219" t="s">
        <v>15395</v>
      </c>
      <c r="D184" s="278" t="s">
        <v>15395</v>
      </c>
      <c r="E184" s="215" t="s">
        <v>1105</v>
      </c>
      <c r="F184" s="215" t="str">
        <f ca="1">IF(ISERROR($V184),"",OFFSET('Smelter Look-up'!$E$4,$V184-4,0))</f>
        <v>CID001406</v>
      </c>
      <c r="G184" s="215" t="str">
        <f ca="1">IF(C184=$X$4,"Enter smelter details",IF(ISERROR($V184),"",OFFSET('Smelter Look-up'!$F$4,$V184-4,0)))</f>
        <v>RMI</v>
      </c>
      <c r="H184" s="216" t="s">
        <v>16082</v>
      </c>
      <c r="I184" s="217" t="s">
        <v>15441</v>
      </c>
      <c r="J184" s="217" t="s">
        <v>13066</v>
      </c>
      <c r="K184" s="268"/>
      <c r="L184" s="268"/>
      <c r="M184" s="268"/>
      <c r="N184" s="268" t="s">
        <v>16083</v>
      </c>
      <c r="O184" s="268" t="s">
        <v>16084</v>
      </c>
      <c r="P184" s="218"/>
      <c r="Q184" s="269" t="s">
        <v>15609</v>
      </c>
      <c r="R184" s="215" t="str">
        <f ca="1">IF(ISERROR($V184),"",OFFSET('Smelter Look-up'!$C$4,$V184-4,0)&amp;"")</f>
        <v>PT Babel Surya Alam Lestari</v>
      </c>
      <c r="S184" s="222" t="str">
        <f t="shared" ca="1" si="24"/>
        <v>ID</v>
      </c>
      <c r="T184" s="222" t="str">
        <f ca="1">IF(B184="","",IF(ISERROR(MATCH($J184,SorP!$B$1:$B$6230,0)),"",INDIRECT("'SorP'!$A$"&amp;MATCH($J184,SorP!$B$1:$B$6230,0))))</f>
        <v>ID-BB</v>
      </c>
      <c r="U184" s="238"/>
      <c r="V184" s="270">
        <f>IF(C184="",NA(),MATCH($B184&amp;$C184,'Smelter Look-up'!$J:$J,0))</f>
        <v>478</v>
      </c>
      <c r="W184" s="271"/>
      <c r="X184" s="271">
        <f t="shared" si="25"/>
        <v>0</v>
      </c>
      <c r="Y184" s="271"/>
      <c r="Z184" s="271"/>
      <c r="AB184" s="273" t="str">
        <f t="shared" si="26"/>
        <v>TinPT Babel Surya Alam Lestari</v>
      </c>
    </row>
    <row r="185" spans="1:28" s="272" customFormat="1" ht="178.5">
      <c r="A185" s="215" t="s">
        <v>781</v>
      </c>
      <c r="B185" s="215" t="s">
        <v>1131</v>
      </c>
      <c r="C185" s="219" t="s">
        <v>844</v>
      </c>
      <c r="D185" s="278" t="s">
        <v>844</v>
      </c>
      <c r="E185" s="215" t="s">
        <v>1105</v>
      </c>
      <c r="F185" s="215" t="str">
        <f ca="1">IF(ISERROR($V185),"",OFFSET('Smelter Look-up'!$E$4,$V185-4,0))</f>
        <v>CID001399</v>
      </c>
      <c r="G185" s="215" t="str">
        <f ca="1">IF(C185=$X$4,"Enter smelter details",IF(ISERROR($V185),"",OFFSET('Smelter Look-up'!$F$4,$V185-4,0)))</f>
        <v>RMI</v>
      </c>
      <c r="H185" s="216" t="s">
        <v>16038</v>
      </c>
      <c r="I185" s="217" t="s">
        <v>1780</v>
      </c>
      <c r="J185" s="217" t="s">
        <v>13066</v>
      </c>
      <c r="K185" s="268"/>
      <c r="L185" s="268"/>
      <c r="M185" s="268"/>
      <c r="N185" s="268" t="s">
        <v>16085</v>
      </c>
      <c r="O185" s="268" t="s">
        <v>16086</v>
      </c>
      <c r="P185" s="218"/>
      <c r="Q185" s="269" t="s">
        <v>15609</v>
      </c>
      <c r="R185" s="215" t="str">
        <f ca="1">IF(ISERROR($V185),"",OFFSET('Smelter Look-up'!$C$4,$V185-4,0)&amp;"")</f>
        <v>PT Artha Cipta Langgeng</v>
      </c>
      <c r="S185" s="222" t="str">
        <f t="shared" ca="1" si="24"/>
        <v>ID</v>
      </c>
      <c r="T185" s="222" t="str">
        <f ca="1">IF(B185="","",IF(ISERROR(MATCH($J185,SorP!$B$1:$B$6230,0)),"",INDIRECT("'SorP'!$A$"&amp;MATCH($J185,SorP!$B$1:$B$6230,0))))</f>
        <v>ID-BB</v>
      </c>
      <c r="U185" s="238"/>
      <c r="V185" s="270">
        <f>IF(C185="",NA(),MATCH($B185&amp;$C185,'Smelter Look-up'!$J:$J,0))</f>
        <v>476</v>
      </c>
      <c r="W185" s="271"/>
      <c r="X185" s="271">
        <f t="shared" si="25"/>
        <v>0</v>
      </c>
      <c r="Y185" s="271"/>
      <c r="Z185" s="271"/>
      <c r="AB185" s="273" t="str">
        <f t="shared" si="26"/>
        <v>TinPT Artha Cipta Langgeng</v>
      </c>
    </row>
    <row r="186" spans="1:28" s="272" customFormat="1" ht="178.5">
      <c r="A186" s="215" t="s">
        <v>780</v>
      </c>
      <c r="B186" s="215" t="s">
        <v>1131</v>
      </c>
      <c r="C186" s="219" t="s">
        <v>14029</v>
      </c>
      <c r="D186" s="278" t="s">
        <v>14029</v>
      </c>
      <c r="E186" s="215" t="s">
        <v>2461</v>
      </c>
      <c r="F186" s="215" t="str">
        <f ca="1">IF(ISERROR($V186),"",OFFSET('Smelter Look-up'!$E$4,$V186-4,0))</f>
        <v>CID001337</v>
      </c>
      <c r="G186" s="215" t="str">
        <f ca="1">IF(C186=$X$4,"Enter smelter details",IF(ISERROR($V186),"",OFFSET('Smelter Look-up'!$F$4,$V186-4,0)))</f>
        <v>RMI</v>
      </c>
      <c r="H186" s="216" t="s">
        <v>16087</v>
      </c>
      <c r="I186" s="217" t="s">
        <v>1782</v>
      </c>
      <c r="J186" s="217" t="s">
        <v>1782</v>
      </c>
      <c r="K186" s="268"/>
      <c r="L186" s="268"/>
      <c r="M186" s="268"/>
      <c r="N186" s="268" t="s">
        <v>16088</v>
      </c>
      <c r="O186" s="268" t="s">
        <v>16089</v>
      </c>
      <c r="P186" s="218"/>
      <c r="Q186" s="269" t="s">
        <v>15609</v>
      </c>
      <c r="R186" s="215" t="str">
        <f ca="1">IF(ISERROR($V186),"",OFFSET('Smelter Look-up'!$C$4,$V186-4,0)&amp;"")</f>
        <v>Operaciones Metalurgicas S.A.</v>
      </c>
      <c r="S186" s="222" t="str">
        <f t="shared" ca="1" si="24"/>
        <v>BO</v>
      </c>
      <c r="T186" s="222" t="str">
        <f ca="1">IF(B186="","",IF(ISERROR(MATCH($J186,SorP!$B$1:$B$6230,0)),"",INDIRECT("'SorP'!$A$"&amp;MATCH($J186,SorP!$B$1:$B$6230,0))))</f>
        <v>BO-O</v>
      </c>
      <c r="U186" s="238"/>
      <c r="V186" s="270">
        <f>IF(C186="",NA(),MATCH($B186&amp;$C186,'Smelter Look-up'!$J:$J,0))</f>
        <v>471</v>
      </c>
      <c r="W186" s="271"/>
      <c r="X186" s="271">
        <f t="shared" si="25"/>
        <v>0</v>
      </c>
      <c r="Y186" s="271"/>
      <c r="Z186" s="271"/>
      <c r="AB186" s="273" t="str">
        <f t="shared" si="26"/>
        <v>TinOperaciones Metalurgicas S.A.</v>
      </c>
    </row>
    <row r="187" spans="1:28" s="272" customFormat="1" ht="153">
      <c r="A187" s="215" t="s">
        <v>779</v>
      </c>
      <c r="B187" s="215" t="s">
        <v>1131</v>
      </c>
      <c r="C187" s="219" t="s">
        <v>778</v>
      </c>
      <c r="D187" s="278" t="s">
        <v>778</v>
      </c>
      <c r="E187" s="215" t="s">
        <v>888</v>
      </c>
      <c r="F187" s="215" t="str">
        <f ca="1">IF(ISERROR($V187),"",OFFSET('Smelter Look-up'!$E$4,$V187-4,0))</f>
        <v>CID001314</v>
      </c>
      <c r="G187" s="215" t="str">
        <f ca="1">IF(C187=$X$4,"Enter smelter details",IF(ISERROR($V187),"",OFFSET('Smelter Look-up'!$F$4,$V187-4,0)))</f>
        <v>RMI</v>
      </c>
      <c r="H187" s="216" t="s">
        <v>16090</v>
      </c>
      <c r="I187" s="217" t="s">
        <v>16091</v>
      </c>
      <c r="J187" s="217" t="s">
        <v>11235</v>
      </c>
      <c r="K187" s="268"/>
      <c r="L187" s="268"/>
      <c r="M187" s="268"/>
      <c r="N187" s="268" t="s">
        <v>15747</v>
      </c>
      <c r="O187" s="268" t="s">
        <v>16092</v>
      </c>
      <c r="P187" s="218"/>
      <c r="Q187" s="269" t="s">
        <v>15609</v>
      </c>
      <c r="R187" s="215" t="str">
        <f ca="1">IF(ISERROR($V187),"",OFFSET('Smelter Look-up'!$C$4,$V187-4,0)&amp;"")</f>
        <v>O.M. Manufacturing (Thailand) Co., Ltd.</v>
      </c>
      <c r="S187" s="222" t="str">
        <f t="shared" ca="1" si="24"/>
        <v>TH</v>
      </c>
      <c r="T187" s="222" t="str">
        <f ca="1">IF(B187="","",IF(ISERROR(MATCH($J187,SorP!$B$1:$B$6230,0)),"",INDIRECT("'SorP'!$A$"&amp;MATCH($J187,SorP!$B$1:$B$6230,0))))</f>
        <v>TH-20</v>
      </c>
      <c r="U187" s="238"/>
      <c r="V187" s="270">
        <f>IF(C187="",NA(),MATCH($B187&amp;$C187,'Smelter Look-up'!$J:$J,0))</f>
        <v>468</v>
      </c>
      <c r="W187" s="271"/>
      <c r="X187" s="271">
        <f t="shared" si="25"/>
        <v>0</v>
      </c>
      <c r="Y187" s="271"/>
      <c r="Z187" s="271"/>
      <c r="AB187" s="273" t="str">
        <f t="shared" si="26"/>
        <v>TinO.M. Manufacturing (Thailand) Co., Ltd.</v>
      </c>
    </row>
    <row r="188" spans="1:28" s="272" customFormat="1" ht="204">
      <c r="A188" s="215" t="s">
        <v>1802</v>
      </c>
      <c r="B188" s="215" t="s">
        <v>1131</v>
      </c>
      <c r="C188" s="219" t="s">
        <v>13400</v>
      </c>
      <c r="D188" s="278" t="s">
        <v>13400</v>
      </c>
      <c r="E188" s="215" t="s">
        <v>1100</v>
      </c>
      <c r="F188" s="215" t="str">
        <f ca="1">IF(ISERROR($V188),"",OFFSET('Smelter Look-up'!$E$4,$V188-4,0))</f>
        <v>CID001231</v>
      </c>
      <c r="G188" s="215" t="str">
        <f ca="1">IF(C188=$X$4,"Enter smelter details",IF(ISERROR($V188),"",OFFSET('Smelter Look-up'!$F$4,$V188-4,0)))</f>
        <v>RMI</v>
      </c>
      <c r="H188" s="216" t="s">
        <v>16018</v>
      </c>
      <c r="I188" s="217" t="s">
        <v>1787</v>
      </c>
      <c r="J188" s="217" t="s">
        <v>13842</v>
      </c>
      <c r="K188" s="268"/>
      <c r="L188" s="268"/>
      <c r="M188" s="268"/>
      <c r="N188" s="268" t="s">
        <v>16053</v>
      </c>
      <c r="O188" s="268" t="s">
        <v>16093</v>
      </c>
      <c r="P188" s="218"/>
      <c r="Q188" s="269" t="s">
        <v>15609</v>
      </c>
      <c r="R188" s="215" t="str">
        <f ca="1">IF(ISERROR($V188),"",OFFSET('Smelter Look-up'!$C$4,$V188-4,0)&amp;"")</f>
        <v>Jiangxi New Nanshan Technology Ltd.</v>
      </c>
      <c r="S188" s="222" t="str">
        <f t="shared" ca="1" si="24"/>
        <v>CN</v>
      </c>
      <c r="T188" s="222" t="str">
        <f ca="1">IF(B188="","",IF(ISERROR(MATCH($J188,SorP!$B$1:$B$6230,0)),"",INDIRECT("'SorP'!$A$"&amp;MATCH($J188,SorP!$B$1:$B$6230,0))))</f>
        <v>CN-JX</v>
      </c>
      <c r="U188" s="238"/>
      <c r="V188" s="270">
        <f>IF(C188="",NA(),MATCH($B188&amp;$C188,'Smelter Look-up'!$J:$J,0))</f>
        <v>440</v>
      </c>
      <c r="W188" s="271"/>
      <c r="X188" s="271">
        <f t="shared" si="25"/>
        <v>0</v>
      </c>
      <c r="Y188" s="271"/>
      <c r="Z188" s="271"/>
      <c r="AB188" s="273" t="str">
        <f t="shared" si="26"/>
        <v>TinJiangxi New Nanshan Technology Ltd.</v>
      </c>
    </row>
    <row r="189" spans="1:28" s="272" customFormat="1" ht="165.75">
      <c r="A189" s="215" t="s">
        <v>777</v>
      </c>
      <c r="B189" s="215" t="s">
        <v>1131</v>
      </c>
      <c r="C189" s="219" t="s">
        <v>1164</v>
      </c>
      <c r="D189" s="278" t="s">
        <v>1164</v>
      </c>
      <c r="E189" s="215" t="s">
        <v>1108</v>
      </c>
      <c r="F189" s="215" t="str">
        <f ca="1">IF(ISERROR($V189),"",OFFSET('Smelter Look-up'!$E$4,$V189-4,0))</f>
        <v>CID001191</v>
      </c>
      <c r="G189" s="215" t="str">
        <f ca="1">IF(C189=$X$4,"Enter smelter details",IF(ISERROR($V189),"",OFFSET('Smelter Look-up'!$F$4,$V189-4,0)))</f>
        <v>RMI</v>
      </c>
      <c r="H189" s="216" t="s">
        <v>15762</v>
      </c>
      <c r="I189" s="217" t="s">
        <v>1548</v>
      </c>
      <c r="J189" s="217" t="s">
        <v>1548</v>
      </c>
      <c r="K189" s="268"/>
      <c r="L189" s="268"/>
      <c r="M189" s="268"/>
      <c r="N189" s="268" t="s">
        <v>16094</v>
      </c>
      <c r="O189" s="268" t="s">
        <v>16095</v>
      </c>
      <c r="P189" s="218"/>
      <c r="Q189" s="269" t="s">
        <v>15609</v>
      </c>
      <c r="R189" s="215" t="str">
        <f ca="1">IF(ISERROR($V189),"",OFFSET('Smelter Look-up'!$C$4,$V189-4,0)&amp;"")</f>
        <v>Mitsubishi Materials Corporation</v>
      </c>
      <c r="S189" s="222" t="str">
        <f t="shared" ca="1" si="24"/>
        <v>JP</v>
      </c>
      <c r="T189" s="222" t="str">
        <f ca="1">IF(B189="","",IF(ISERROR(MATCH($J189,SorP!$B$1:$B$6230,0)),"",INDIRECT("'SorP'!$A$"&amp;MATCH($J189,SorP!$B$1:$B$6230,0))))</f>
        <v>JP-13</v>
      </c>
      <c r="U189" s="238"/>
      <c r="V189" s="270">
        <f>IF(C189="",NA(),MATCH($B189&amp;$C189,'Smelter Look-up'!$J:$J,0))</f>
        <v>461</v>
      </c>
      <c r="W189" s="271"/>
      <c r="X189" s="271">
        <f t="shared" si="25"/>
        <v>0</v>
      </c>
      <c r="Y189" s="271"/>
      <c r="Z189" s="271"/>
      <c r="AB189" s="273" t="str">
        <f t="shared" si="26"/>
        <v>TinMitsubishi Materials Corporation</v>
      </c>
    </row>
    <row r="190" spans="1:28" s="272" customFormat="1" ht="267.75">
      <c r="A190" s="215" t="s">
        <v>776</v>
      </c>
      <c r="B190" s="215" t="s">
        <v>1131</v>
      </c>
      <c r="C190" s="219" t="s">
        <v>1034</v>
      </c>
      <c r="D190" s="278" t="s">
        <v>1034</v>
      </c>
      <c r="E190" s="215" t="s">
        <v>880</v>
      </c>
      <c r="F190" s="215" t="str">
        <f ca="1">IF(ISERROR($V190),"",OFFSET('Smelter Look-up'!$E$4,$V190-4,0))</f>
        <v>CID001182</v>
      </c>
      <c r="G190" s="215" t="str">
        <f ca="1">IF(C190=$X$4,"Enter smelter details",IF(ISERROR($V190),"",OFFSET('Smelter Look-up'!$F$4,$V190-4,0)))</f>
        <v>RMI</v>
      </c>
      <c r="H190" s="216" t="s">
        <v>16096</v>
      </c>
      <c r="I190" s="217" t="s">
        <v>1799</v>
      </c>
      <c r="J190" s="217" t="s">
        <v>9323</v>
      </c>
      <c r="K190" s="268"/>
      <c r="L190" s="268"/>
      <c r="M190" s="268"/>
      <c r="N190" s="268" t="s">
        <v>16097</v>
      </c>
      <c r="O190" s="268" t="s">
        <v>16098</v>
      </c>
      <c r="P190" s="218"/>
      <c r="Q190" s="269" t="s">
        <v>15609</v>
      </c>
      <c r="R190" s="215" t="str">
        <f ca="1">IF(ISERROR($V190),"",OFFSET('Smelter Look-up'!$C$4,$V190-4,0)&amp;"")</f>
        <v>Minsur</v>
      </c>
      <c r="S190" s="222" t="str">
        <f t="shared" ca="1" si="24"/>
        <v>PE</v>
      </c>
      <c r="T190" s="222" t="str">
        <f ca="1">IF(B190="","",IF(ISERROR(MATCH($J190,SorP!$B$1:$B$6230,0)),"",INDIRECT("'SorP'!$A$"&amp;MATCH($J190,SorP!$B$1:$B$6230,0))))</f>
        <v>PE-ICA</v>
      </c>
      <c r="U190" s="238"/>
      <c r="V190" s="270">
        <f>IF(C190="",NA(),MATCH($B190&amp;$C190,'Smelter Look-up'!$J:$J,0))</f>
        <v>460</v>
      </c>
      <c r="W190" s="271"/>
      <c r="X190" s="271">
        <f t="shared" si="25"/>
        <v>0</v>
      </c>
      <c r="Y190" s="271"/>
      <c r="Z190" s="271"/>
      <c r="AB190" s="273" t="str">
        <f t="shared" si="26"/>
        <v>TinMinsur</v>
      </c>
    </row>
    <row r="191" spans="1:28" s="272" customFormat="1" ht="255">
      <c r="A191" s="215" t="s">
        <v>775</v>
      </c>
      <c r="B191" s="215" t="s">
        <v>1131</v>
      </c>
      <c r="C191" s="219" t="s">
        <v>12642</v>
      </c>
      <c r="D191" s="278" t="s">
        <v>12642</v>
      </c>
      <c r="E191" s="215" t="s">
        <v>1096</v>
      </c>
      <c r="F191" s="215" t="str">
        <f ca="1">IF(ISERROR($V191),"",OFFSET('Smelter Look-up'!$E$4,$V191-4,0))</f>
        <v>CID001173</v>
      </c>
      <c r="G191" s="215" t="str">
        <f ca="1">IF(C191=$X$4,"Enter smelter details",IF(ISERROR($V191),"",OFFSET('Smelter Look-up'!$F$4,$V191-4,0)))</f>
        <v>RMI</v>
      </c>
      <c r="H191" s="216" t="s">
        <v>16099</v>
      </c>
      <c r="I191" s="217" t="s">
        <v>16100</v>
      </c>
      <c r="J191" s="217" t="s">
        <v>1683</v>
      </c>
      <c r="K191" s="268"/>
      <c r="L191" s="268"/>
      <c r="M191" s="268"/>
      <c r="N191" s="268" t="s">
        <v>16101</v>
      </c>
      <c r="O191" s="268" t="s">
        <v>16102</v>
      </c>
      <c r="P191" s="218"/>
      <c r="Q191" s="269" t="s">
        <v>15609</v>
      </c>
      <c r="R191" s="215" t="str">
        <f ca="1">IF(ISERROR($V191),"",OFFSET('Smelter Look-up'!$C$4,$V191-4,0)&amp;"")</f>
        <v>Mineracao Taboca S.A.</v>
      </c>
      <c r="S191" s="222" t="str">
        <f t="shared" ca="1" si="24"/>
        <v>BR</v>
      </c>
      <c r="T191" s="222" t="str">
        <f ca="1">IF(B191="","",IF(ISERROR(MATCH($J191,SorP!$B$1:$B$6230,0)),"",INDIRECT("'SorP'!$A$"&amp;MATCH($J191,SorP!$B$1:$B$6230,0))))</f>
        <v>BR-SP</v>
      </c>
      <c r="U191" s="238"/>
      <c r="V191" s="270">
        <f>IF(C191="",NA(),MATCH($B191&amp;$C191,'Smelter Look-up'!$J:$J,0))</f>
        <v>456</v>
      </c>
      <c r="W191" s="271"/>
      <c r="X191" s="271">
        <f t="shared" si="25"/>
        <v>0</v>
      </c>
      <c r="Y191" s="271"/>
      <c r="Z191" s="271"/>
      <c r="AB191" s="273" t="str">
        <f t="shared" si="26"/>
        <v>TinMineracao Taboca S.A.</v>
      </c>
    </row>
    <row r="192" spans="1:28" s="272" customFormat="1" ht="165.75">
      <c r="A192" s="215" t="s">
        <v>1795</v>
      </c>
      <c r="B192" s="215" t="s">
        <v>1131</v>
      </c>
      <c r="C192" s="219" t="s">
        <v>2165</v>
      </c>
      <c r="D192" s="278" t="s">
        <v>2165</v>
      </c>
      <c r="E192" s="215" t="s">
        <v>2463</v>
      </c>
      <c r="F192" s="215" t="str">
        <f ca="1">IF(ISERROR($V192),"",OFFSET('Smelter Look-up'!$E$4,$V192-4,0))</f>
        <v>CID001142</v>
      </c>
      <c r="G192" s="215" t="str">
        <f ca="1">IF(C192=$X$4,"Enter smelter details",IF(ISERROR($V192),"",OFFSET('Smelter Look-up'!$F$4,$V192-4,0)))</f>
        <v>RMI</v>
      </c>
      <c r="H192" s="216" t="s">
        <v>16103</v>
      </c>
      <c r="I192" s="217" t="s">
        <v>1796</v>
      </c>
      <c r="J192" s="217" t="s">
        <v>1642</v>
      </c>
      <c r="K192" s="268"/>
      <c r="L192" s="268"/>
      <c r="M192" s="268"/>
      <c r="N192" s="268" t="s">
        <v>16104</v>
      </c>
      <c r="O192" s="268" t="s">
        <v>16105</v>
      </c>
      <c r="P192" s="218"/>
      <c r="Q192" s="269" t="s">
        <v>15609</v>
      </c>
      <c r="R192" s="215" t="str">
        <f ca="1">IF(ISERROR($V192),"",OFFSET('Smelter Look-up'!$C$4,$V192-4,0)&amp;"")</f>
        <v>Metallic Resources, Inc.</v>
      </c>
      <c r="S192" s="222" t="str">
        <f t="shared" ca="1" si="24"/>
        <v>US</v>
      </c>
      <c r="T192" s="222" t="str">
        <f ca="1">IF(B192="","",IF(ISERROR(MATCH($J192,SorP!$B$1:$B$6230,0)),"",INDIRECT("'SorP'!$A$"&amp;MATCH($J192,SorP!$B$1:$B$6230,0))))</f>
        <v>US-OH</v>
      </c>
      <c r="U192" s="238"/>
      <c r="V192" s="270">
        <f>IF(C192="",NA(),MATCH($B192&amp;$C192,'Smelter Look-up'!$J:$J,0))</f>
        <v>453</v>
      </c>
      <c r="W192" s="271"/>
      <c r="X192" s="271">
        <f t="shared" si="25"/>
        <v>0</v>
      </c>
      <c r="Y192" s="271"/>
      <c r="Z192" s="271"/>
      <c r="AB192" s="273" t="str">
        <f t="shared" si="26"/>
        <v>TinMetallic Resources, Inc.</v>
      </c>
    </row>
    <row r="193" spans="1:28" s="272" customFormat="1" ht="409.5">
      <c r="A193" s="215" t="s">
        <v>774</v>
      </c>
      <c r="B193" s="215" t="s">
        <v>1131</v>
      </c>
      <c r="C193" s="219" t="s">
        <v>821</v>
      </c>
      <c r="D193" s="278" t="s">
        <v>821</v>
      </c>
      <c r="E193" s="215" t="s">
        <v>1115</v>
      </c>
      <c r="F193" s="215" t="str">
        <f ca="1">IF(ISERROR($V193),"",OFFSET('Smelter Look-up'!$E$4,$V193-4,0))</f>
        <v>CID001105</v>
      </c>
      <c r="G193" s="215" t="str">
        <f ca="1">IF(C193=$X$4,"Enter smelter details",IF(ISERROR($V193),"",OFFSET('Smelter Look-up'!$F$4,$V193-4,0)))</f>
        <v>RMI</v>
      </c>
      <c r="H193" s="216" t="s">
        <v>16106</v>
      </c>
      <c r="I193" s="217" t="s">
        <v>1794</v>
      </c>
      <c r="J193" s="217" t="s">
        <v>8868</v>
      </c>
      <c r="K193" s="268"/>
      <c r="L193" s="268"/>
      <c r="M193" s="268"/>
      <c r="N193" s="268" t="s">
        <v>16107</v>
      </c>
      <c r="O193" s="268" t="s">
        <v>16108</v>
      </c>
      <c r="P193" s="218"/>
      <c r="Q193" s="269" t="s">
        <v>15609</v>
      </c>
      <c r="R193" s="215" t="str">
        <f ca="1">IF(ISERROR($V193),"",OFFSET('Smelter Look-up'!$C$4,$V193-4,0)&amp;"")</f>
        <v>Malaysia Smelting Corporation (MSC)</v>
      </c>
      <c r="S193" s="222" t="str">
        <f t="shared" ca="1" si="24"/>
        <v>MY</v>
      </c>
      <c r="T193" s="222" t="str">
        <f ca="1">IF(B193="","",IF(ISERROR(MATCH($J193,SorP!$B$1:$B$6230,0)),"",INDIRECT("'SorP'!$A$"&amp;MATCH($J193,SorP!$B$1:$B$6230,0))))</f>
        <v>MY-07</v>
      </c>
      <c r="U193" s="238"/>
      <c r="V193" s="270">
        <f>IF(C193="",NA(),MATCH($B193&amp;$C193,'Smelter Look-up'!$J:$J,0))</f>
        <v>449</v>
      </c>
      <c r="W193" s="271"/>
      <c r="X193" s="271">
        <f t="shared" si="25"/>
        <v>0</v>
      </c>
      <c r="Y193" s="271"/>
      <c r="Z193" s="271"/>
      <c r="AB193" s="273" t="str">
        <f t="shared" si="26"/>
        <v>TinMalaysia Smelting Corporation (MSC)</v>
      </c>
    </row>
    <row r="194" spans="1:28" s="272" customFormat="1" ht="165.75">
      <c r="A194" s="215" t="s">
        <v>773</v>
      </c>
      <c r="B194" s="215" t="s">
        <v>1131</v>
      </c>
      <c r="C194" s="219" t="s">
        <v>1327</v>
      </c>
      <c r="D194" s="278" t="s">
        <v>1327</v>
      </c>
      <c r="E194" s="215" t="s">
        <v>1100</v>
      </c>
      <c r="F194" s="215" t="str">
        <f ca="1">IF(ISERROR($V194),"",OFFSET('Smelter Look-up'!$E$4,$V194-4,0))</f>
        <v>CID001070</v>
      </c>
      <c r="G194" s="215" t="str">
        <f ca="1">IF(C194=$X$4,"Enter smelter details",IF(ISERROR($V194),"",OFFSET('Smelter Look-up'!$F$4,$V194-4,0)))</f>
        <v>RMI</v>
      </c>
      <c r="H194" s="216" t="s">
        <v>16109</v>
      </c>
      <c r="I194" s="217" t="s">
        <v>1789</v>
      </c>
      <c r="J194" s="217" t="s">
        <v>13826</v>
      </c>
      <c r="K194" s="268"/>
      <c r="L194" s="268"/>
      <c r="M194" s="268"/>
      <c r="N194" s="268" t="s">
        <v>16110</v>
      </c>
      <c r="O194" s="268" t="s">
        <v>16111</v>
      </c>
      <c r="P194" s="218"/>
      <c r="Q194" s="269" t="s">
        <v>15609</v>
      </c>
      <c r="R194" s="215" t="str">
        <f ca="1">IF(ISERROR($V194),"",OFFSET('Smelter Look-up'!$C$4,$V194-4,0)&amp;"")</f>
        <v>China Tin Group Co., Ltd.</v>
      </c>
      <c r="S194" s="222" t="str">
        <f t="shared" ca="1" si="24"/>
        <v>CN</v>
      </c>
      <c r="T194" s="222" t="str">
        <f ca="1">IF(B194="","",IF(ISERROR(MATCH($J194,SorP!$B$1:$B$6230,0)),"",INDIRECT("'SorP'!$A$"&amp;MATCH($J194,SorP!$B$1:$B$6230,0))))</f>
        <v>CN-GX</v>
      </c>
      <c r="U194" s="238"/>
      <c r="V194" s="270">
        <f>IF(C194="",NA(),MATCH($B194&amp;$C194,'Smelter Look-up'!$J:$J,0))</f>
        <v>395</v>
      </c>
      <c r="W194" s="271"/>
      <c r="X194" s="271">
        <f t="shared" si="25"/>
        <v>0</v>
      </c>
      <c r="Y194" s="271"/>
      <c r="Z194" s="271"/>
      <c r="AB194" s="273" t="str">
        <f t="shared" si="26"/>
        <v>TinChina Tin Group Co., Ltd.</v>
      </c>
    </row>
    <row r="195" spans="1:28" s="272" customFormat="1" ht="102">
      <c r="A195" s="215" t="s">
        <v>772</v>
      </c>
      <c r="B195" s="215" t="s">
        <v>1131</v>
      </c>
      <c r="C195" s="219" t="s">
        <v>1427</v>
      </c>
      <c r="D195" s="278" t="s">
        <v>1427</v>
      </c>
      <c r="E195" s="215" t="s">
        <v>1100</v>
      </c>
      <c r="F195" s="215" t="str">
        <f ca="1">IF(ISERROR($V195),"",OFFSET('Smelter Look-up'!$E$4,$V195-4,0))</f>
        <v>CID000942</v>
      </c>
      <c r="G195" s="215" t="str">
        <f ca="1">IF(C195=$X$4,"Enter smelter details",IF(ISERROR($V195),"",OFFSET('Smelter Look-up'!$F$4,$V195-4,0)))</f>
        <v>RMI</v>
      </c>
      <c r="H195" s="216" t="s">
        <v>15994</v>
      </c>
      <c r="I195" s="217" t="s">
        <v>2477</v>
      </c>
      <c r="J195" s="217" t="s">
        <v>13851</v>
      </c>
      <c r="K195" s="268"/>
      <c r="L195" s="268"/>
      <c r="M195" s="268"/>
      <c r="N195" s="268" t="s">
        <v>16112</v>
      </c>
      <c r="O195" s="268" t="s">
        <v>16113</v>
      </c>
      <c r="P195" s="218"/>
      <c r="Q195" s="269" t="s">
        <v>15609</v>
      </c>
      <c r="R195" s="215" t="str">
        <f ca="1">IF(ISERROR($V195),"",OFFSET('Smelter Look-up'!$C$4,$V195-4,0)&amp;"")</f>
        <v>Gejiu Kai Meng Industry and Trade LLC</v>
      </c>
      <c r="S195" s="222" t="str">
        <f t="shared" ca="1" si="24"/>
        <v>CN</v>
      </c>
      <c r="T195" s="222" t="str">
        <f ca="1">IF(B195="","",IF(ISERROR(MATCH($J195,SorP!$B$1:$B$6230,0)),"",INDIRECT("'SorP'!$A$"&amp;MATCH($J195,SorP!$B$1:$B$6230,0))))</f>
        <v>CN-YN</v>
      </c>
      <c r="U195" s="238"/>
      <c r="V195" s="270">
        <f>IF(C195="",NA(),MATCH($B195&amp;$C195,'Smelter Look-up'!$J:$J,0))</f>
        <v>427</v>
      </c>
      <c r="W195" s="271"/>
      <c r="X195" s="271">
        <f t="shared" si="25"/>
        <v>0</v>
      </c>
      <c r="Y195" s="271"/>
      <c r="Z195" s="271"/>
      <c r="AB195" s="273" t="str">
        <f t="shared" si="26"/>
        <v>TinGejiu Kai Meng Industry and Trade LLC</v>
      </c>
    </row>
    <row r="196" spans="1:28" s="272" customFormat="1" ht="114.75">
      <c r="A196" s="215" t="s">
        <v>771</v>
      </c>
      <c r="B196" s="215" t="s">
        <v>1131</v>
      </c>
      <c r="C196" s="219" t="s">
        <v>1786</v>
      </c>
      <c r="D196" s="278" t="s">
        <v>1786</v>
      </c>
      <c r="E196" s="215" t="s">
        <v>1100</v>
      </c>
      <c r="F196" s="215" t="str">
        <f ca="1">IF(ISERROR($V196),"",OFFSET('Smelter Look-up'!$E$4,$V196-4,0))</f>
        <v>CID000555</v>
      </c>
      <c r="G196" s="215" t="str">
        <f ca="1">IF(C196=$X$4,"Enter smelter details",IF(ISERROR($V196),"",OFFSET('Smelter Look-up'!$F$4,$V196-4,0)))</f>
        <v>RMI</v>
      </c>
      <c r="H196" s="216" t="s">
        <v>15994</v>
      </c>
      <c r="I196" s="217" t="s">
        <v>2477</v>
      </c>
      <c r="J196" s="217" t="s">
        <v>13851</v>
      </c>
      <c r="K196" s="268"/>
      <c r="L196" s="268"/>
      <c r="M196" s="268"/>
      <c r="N196" s="268" t="s">
        <v>16114</v>
      </c>
      <c r="O196" s="268" t="s">
        <v>16115</v>
      </c>
      <c r="P196" s="218"/>
      <c r="Q196" s="269" t="s">
        <v>15609</v>
      </c>
      <c r="R196" s="215" t="str">
        <f ca="1">IF(ISERROR($V196),"",OFFSET('Smelter Look-up'!$C$4,$V196-4,0)&amp;"")</f>
        <v>Gejiu Zili Mining And Metallurgy Co., Ltd.</v>
      </c>
      <c r="S196" s="222" t="str">
        <f t="shared" ca="1" si="24"/>
        <v>CN</v>
      </c>
      <c r="T196" s="222" t="str">
        <f ca="1">IF(B196="","",IF(ISERROR(MATCH($J196,SorP!$B$1:$B$6230,0)),"",INDIRECT("'SorP'!$A$"&amp;MATCH($J196,SorP!$B$1:$B$6230,0))))</f>
        <v>CN-YN</v>
      </c>
      <c r="U196" s="238"/>
      <c r="V196" s="270">
        <f>IF(C196="",NA(),MATCH($B196&amp;$C196,'Smelter Look-up'!$J:$J,0))</f>
        <v>431</v>
      </c>
      <c r="W196" s="271"/>
      <c r="X196" s="271">
        <f t="shared" si="25"/>
        <v>0</v>
      </c>
      <c r="Y196" s="271"/>
      <c r="Z196" s="271"/>
      <c r="AB196" s="273" t="str">
        <f t="shared" si="26"/>
        <v>TinGejiu Zili Mining And Metallurgy Co., Ltd.</v>
      </c>
    </row>
    <row r="197" spans="1:28" s="272" customFormat="1" ht="204">
      <c r="A197" s="215" t="s">
        <v>770</v>
      </c>
      <c r="B197" s="215" t="s">
        <v>1131</v>
      </c>
      <c r="C197" s="219" t="s">
        <v>2160</v>
      </c>
      <c r="D197" s="278" t="s">
        <v>2160</v>
      </c>
      <c r="E197" s="215" t="s">
        <v>1100</v>
      </c>
      <c r="F197" s="215" t="str">
        <f ca="1">IF(ISERROR($V197),"",OFFSET('Smelter Look-up'!$E$4,$V197-4,0))</f>
        <v>CID000538</v>
      </c>
      <c r="G197" s="215" t="str">
        <f ca="1">IF(C197=$X$4,"Enter smelter details",IF(ISERROR($V197),"",OFFSET('Smelter Look-up'!$F$4,$V197-4,0)))</f>
        <v>RMI</v>
      </c>
      <c r="H197" s="216" t="s">
        <v>15994</v>
      </c>
      <c r="I197" s="217" t="s">
        <v>2477</v>
      </c>
      <c r="J197" s="217" t="s">
        <v>13851</v>
      </c>
      <c r="K197" s="268"/>
      <c r="L197" s="268"/>
      <c r="M197" s="268"/>
      <c r="N197" s="268" t="s">
        <v>16116</v>
      </c>
      <c r="O197" s="268" t="s">
        <v>16117</v>
      </c>
      <c r="P197" s="218"/>
      <c r="Q197" s="269" t="s">
        <v>15609</v>
      </c>
      <c r="R197" s="215" t="str">
        <f ca="1">IF(ISERROR($V197),"",OFFSET('Smelter Look-up'!$C$4,$V197-4,0)&amp;"")</f>
        <v>Gejiu Non-Ferrous Metal Processing Co., Ltd.</v>
      </c>
      <c r="S197" s="222" t="str">
        <f t="shared" ref="S197" ca="1" si="27">IF(B197="","",IF(ISERROR(MATCH($E197,CL,0)),"Unknown",INDIRECT("'C'!$A$"&amp;MATCH($E197,CL,0)+1)))</f>
        <v>CN</v>
      </c>
      <c r="T197" s="222" t="str">
        <f ca="1">IF(B197="","",IF(ISERROR(MATCH($J197,SorP!$B$1:$B$6230,0)),"",INDIRECT("'SorP'!$A$"&amp;MATCH($J197,SorP!$B$1:$B$6230,0))))</f>
        <v>CN-YN</v>
      </c>
      <c r="U197" s="238"/>
      <c r="V197" s="270">
        <f>IF(C197="",NA(),MATCH($B197&amp;$C197,'Smelter Look-up'!$J:$J,0))</f>
        <v>428</v>
      </c>
      <c r="W197" s="271"/>
      <c r="X197" s="271">
        <f t="shared" ref="X197" si="28">IF(AND(C197="Smelter not listed",OR(LEN(D197)=0,LEN(E197)=0)),1,0)</f>
        <v>0</v>
      </c>
      <c r="Y197" s="271"/>
      <c r="Z197" s="271"/>
      <c r="AB197" s="273" t="str">
        <f t="shared" ref="AB197" si="29">B197&amp;C197</f>
        <v>TinGejiu Non-Ferrous Metal Processing Co., Ltd.</v>
      </c>
    </row>
    <row r="198" spans="1:28" s="272" customFormat="1" ht="127.5">
      <c r="A198" s="215" t="s">
        <v>769</v>
      </c>
      <c r="B198" s="215" t="s">
        <v>1131</v>
      </c>
      <c r="C198" s="219" t="s">
        <v>815</v>
      </c>
      <c r="D198" s="278" t="s">
        <v>815</v>
      </c>
      <c r="E198" s="215" t="s">
        <v>882</v>
      </c>
      <c r="F198" s="215" t="str">
        <f ca="1">IF(ISERROR($V198),"",OFFSET('Smelter Look-up'!$E$4,$V198-4,0))</f>
        <v>CID000468</v>
      </c>
      <c r="G198" s="215" t="str">
        <f ca="1">IF(C198=$X$4,"Enter smelter details",IF(ISERROR($V198),"",OFFSET('Smelter Look-up'!$F$4,$V198-4,0)))</f>
        <v>RMI</v>
      </c>
      <c r="H198" s="216" t="s">
        <v>16118</v>
      </c>
      <c r="I198" s="217" t="s">
        <v>1785</v>
      </c>
      <c r="J198" s="217" t="s">
        <v>9711</v>
      </c>
      <c r="K198" s="268"/>
      <c r="L198" s="268"/>
      <c r="M198" s="268"/>
      <c r="N198" s="268" t="s">
        <v>16119</v>
      </c>
      <c r="O198" s="268" t="s">
        <v>16120</v>
      </c>
      <c r="P198" s="218"/>
      <c r="Q198" s="269" t="s">
        <v>15609</v>
      </c>
      <c r="R198" s="215" t="str">
        <f ca="1">IF(ISERROR($V198),"",OFFSET('Smelter Look-up'!$C$4,$V198-4,0)&amp;"")</f>
        <v>Fenix Metals</v>
      </c>
      <c r="S198" s="222" t="str">
        <f t="shared" ref="S198:S229" ca="1" si="30">IF(B198="","",IF(ISERROR(MATCH($E198,CL,0)),"Unknown",INDIRECT("'C'!$A$"&amp;MATCH($E198,CL,0)+1)))</f>
        <v>PL</v>
      </c>
      <c r="T198" s="222" t="str">
        <f ca="1">IF(B198="","",IF(ISERROR(MATCH($J198,SorP!$B$1:$B$6230,0)),"",INDIRECT("'SorP'!$A$"&amp;MATCH($J198,SorP!$B$1:$B$6230,0))))</f>
        <v>PL-18</v>
      </c>
      <c r="U198" s="238"/>
      <c r="V198" s="270">
        <f>IF(C198="",NA(),MATCH($B198&amp;$C198,'Smelter Look-up'!$J:$J,0))</f>
        <v>421</v>
      </c>
      <c r="W198" s="271"/>
      <c r="X198" s="271">
        <f t="shared" ref="X198:X229" si="31">IF(AND(C198="Smelter not listed",OR(LEN(D198)=0,LEN(E198)=0)),1,0)</f>
        <v>0</v>
      </c>
      <c r="Y198" s="271"/>
      <c r="Z198" s="271"/>
      <c r="AB198" s="273" t="str">
        <f t="shared" ref="AB198:AB229" si="32">B198&amp;C198</f>
        <v>TinFenix Metals</v>
      </c>
    </row>
    <row r="199" spans="1:28" s="272" customFormat="1" ht="178.5">
      <c r="A199" s="215" t="s">
        <v>767</v>
      </c>
      <c r="B199" s="215" t="s">
        <v>1131</v>
      </c>
      <c r="C199" s="219" t="s">
        <v>842</v>
      </c>
      <c r="D199" s="278" t="s">
        <v>842</v>
      </c>
      <c r="E199" s="215" t="s">
        <v>2461</v>
      </c>
      <c r="F199" s="215" t="str">
        <f ca="1">IF(ISERROR($V199),"",OFFSET('Smelter Look-up'!$E$4,$V199-4,0))</f>
        <v>CID000438</v>
      </c>
      <c r="G199" s="215" t="str">
        <f ca="1">IF(C199=$X$4,"Enter smelter details",IF(ISERROR($V199),"",OFFSET('Smelter Look-up'!$F$4,$V199-4,0)))</f>
        <v>RMI</v>
      </c>
      <c r="H199" s="216" t="s">
        <v>16087</v>
      </c>
      <c r="I199" s="217" t="s">
        <v>1782</v>
      </c>
      <c r="J199" s="217" t="s">
        <v>1782</v>
      </c>
      <c r="K199" s="268"/>
      <c r="L199" s="268"/>
      <c r="M199" s="268"/>
      <c r="N199" s="268" t="s">
        <v>16121</v>
      </c>
      <c r="O199" s="268" t="s">
        <v>16122</v>
      </c>
      <c r="P199" s="218"/>
      <c r="Q199" s="269" t="s">
        <v>15609</v>
      </c>
      <c r="R199" s="215" t="str">
        <f ca="1">IF(ISERROR($V199),"",OFFSET('Smelter Look-up'!$C$4,$V199-4,0)&amp;"")</f>
        <v>EM Vinto</v>
      </c>
      <c r="S199" s="222" t="str">
        <f t="shared" ca="1" si="30"/>
        <v>BO</v>
      </c>
      <c r="T199" s="222" t="str">
        <f ca="1">IF(B199="","",IF(ISERROR(MATCH($J199,SorP!$B$1:$B$6230,0)),"",INDIRECT("'SorP'!$A$"&amp;MATCH($J199,SorP!$B$1:$B$6230,0))))</f>
        <v>BO-O</v>
      </c>
      <c r="U199" s="238"/>
      <c r="V199" s="270">
        <f>IF(C199="",NA(),MATCH($B199&amp;$C199,'Smelter Look-up'!$J:$J,0))</f>
        <v>412</v>
      </c>
      <c r="W199" s="271"/>
      <c r="X199" s="271">
        <f t="shared" si="31"/>
        <v>0</v>
      </c>
      <c r="Y199" s="271"/>
      <c r="Z199" s="271"/>
      <c r="AB199" s="273" t="str">
        <f t="shared" si="32"/>
        <v>TinEM Vinto</v>
      </c>
    </row>
    <row r="200" spans="1:28" s="272" customFormat="1" ht="89.25">
      <c r="A200" s="215" t="s">
        <v>1410</v>
      </c>
      <c r="B200" s="215" t="s">
        <v>1131</v>
      </c>
      <c r="C200" s="219" t="s">
        <v>906</v>
      </c>
      <c r="D200" s="278" t="s">
        <v>906</v>
      </c>
      <c r="E200" s="215" t="s">
        <v>1108</v>
      </c>
      <c r="F200" s="215" t="str">
        <f ca="1">IF(ISERROR($V200),"",OFFSET('Smelter Look-up'!$E$4,$V200-4,0))</f>
        <v>CID000402</v>
      </c>
      <c r="G200" s="215" t="str">
        <f ca="1">IF(C200=$X$4,"Enter smelter details",IF(ISERROR($V200),"",OFFSET('Smelter Look-up'!$F$4,$V200-4,0)))</f>
        <v>RMI</v>
      </c>
      <c r="H200" s="216" t="s">
        <v>15845</v>
      </c>
      <c r="I200" s="217" t="s">
        <v>1581</v>
      </c>
      <c r="J200" s="217" t="s">
        <v>1582</v>
      </c>
      <c r="K200" s="268"/>
      <c r="L200" s="268"/>
      <c r="M200" s="268"/>
      <c r="N200" s="268" t="s">
        <v>16123</v>
      </c>
      <c r="O200" s="268" t="s">
        <v>16124</v>
      </c>
      <c r="P200" s="218"/>
      <c r="Q200" s="269" t="s">
        <v>15609</v>
      </c>
      <c r="R200" s="215" t="str">
        <f ca="1">IF(ISERROR($V200),"",OFFSET('Smelter Look-up'!$C$4,$V200-4,0)&amp;"")</f>
        <v>Dowa</v>
      </c>
      <c r="S200" s="222" t="str">
        <f t="shared" ca="1" si="30"/>
        <v>JP</v>
      </c>
      <c r="T200" s="222" t="str">
        <f ca="1">IF(B200="","",IF(ISERROR(MATCH($J200,SorP!$B$1:$B$6230,0)),"",INDIRECT("'SorP'!$A$"&amp;MATCH($J200,SorP!$B$1:$B$6230,0))))</f>
        <v>JP-05</v>
      </c>
      <c r="U200" s="238"/>
      <c r="V200" s="270">
        <f>IF(C200="",NA(),MATCH($B200&amp;$C200,'Smelter Look-up'!$J:$J,0))</f>
        <v>409</v>
      </c>
      <c r="W200" s="271"/>
      <c r="X200" s="271">
        <f t="shared" si="31"/>
        <v>0</v>
      </c>
      <c r="Y200" s="271"/>
      <c r="Z200" s="271"/>
      <c r="AB200" s="273" t="str">
        <f t="shared" si="32"/>
        <v>TinDowa</v>
      </c>
    </row>
    <row r="201" spans="1:28" s="272" customFormat="1" ht="63.75">
      <c r="A201" s="215" t="s">
        <v>15378</v>
      </c>
      <c r="B201" s="215" t="s">
        <v>1131</v>
      </c>
      <c r="C201" s="219" t="s">
        <v>15377</v>
      </c>
      <c r="D201" s="278" t="s">
        <v>15377</v>
      </c>
      <c r="E201" s="215" t="s">
        <v>1105</v>
      </c>
      <c r="F201" s="215" t="str">
        <f ca="1">IF(ISERROR($V201),"",OFFSET('Smelter Look-up'!$E$4,$V201-4,0))</f>
        <v>CID000309</v>
      </c>
      <c r="G201" s="215" t="str">
        <f ca="1">IF(C201=$X$4,"Enter smelter details",IF(ISERROR($V201),"",OFFSET('Smelter Look-up'!$F$4,$V201-4,0)))</f>
        <v>RMI</v>
      </c>
      <c r="H201" s="216" t="s">
        <v>16125</v>
      </c>
      <c r="I201" s="217" t="s">
        <v>15437</v>
      </c>
      <c r="J201" s="217" t="s">
        <v>13066</v>
      </c>
      <c r="K201" s="268"/>
      <c r="L201" s="268"/>
      <c r="M201" s="268"/>
      <c r="N201" s="268"/>
      <c r="O201" s="268"/>
      <c r="P201" s="218"/>
      <c r="Q201" s="269"/>
      <c r="R201" s="215" t="str">
        <f ca="1">IF(ISERROR($V201),"",OFFSET('Smelter Look-up'!$C$4,$V201-4,0)&amp;"")</f>
        <v>PT Aries Kencana Sejahtera</v>
      </c>
      <c r="S201" s="222" t="str">
        <f t="shared" ca="1" si="30"/>
        <v>ID</v>
      </c>
      <c r="T201" s="222" t="str">
        <f ca="1">IF(B201="","",IF(ISERROR(MATCH($J201,SorP!$B$1:$B$6230,0)),"",INDIRECT("'SorP'!$A$"&amp;MATCH($J201,SorP!$B$1:$B$6230,0))))</f>
        <v>ID-BB</v>
      </c>
      <c r="U201" s="238"/>
      <c r="V201" s="270">
        <f>IF(C201="",NA(),MATCH($B201&amp;$C201,'Smelter Look-up'!$J:$J,0))</f>
        <v>475</v>
      </c>
      <c r="W201" s="271"/>
      <c r="X201" s="271">
        <f t="shared" si="31"/>
        <v>0</v>
      </c>
      <c r="Y201" s="271"/>
      <c r="Z201" s="271"/>
      <c r="AB201" s="273" t="str">
        <f t="shared" si="32"/>
        <v>TinPT Aries Kencana Sejahtera</v>
      </c>
    </row>
    <row r="202" spans="1:28" s="272" customFormat="1" ht="229.5">
      <c r="A202" s="215" t="s">
        <v>766</v>
      </c>
      <c r="B202" s="215" t="s">
        <v>1131</v>
      </c>
      <c r="C202" s="219" t="s">
        <v>49</v>
      </c>
      <c r="D202" s="278" t="s">
        <v>49</v>
      </c>
      <c r="E202" s="215" t="s">
        <v>2463</v>
      </c>
      <c r="F202" s="215" t="str">
        <f ca="1">IF(ISERROR($V202),"",OFFSET('Smelter Look-up'!$E$4,$V202-4,0))</f>
        <v>CID000292</v>
      </c>
      <c r="G202" s="215" t="str">
        <f ca="1">IF(C202=$X$4,"Enter smelter details",IF(ISERROR($V202),"",OFFSET('Smelter Look-up'!$F$4,$V202-4,0)))</f>
        <v>RMI</v>
      </c>
      <c r="H202" s="216" t="s">
        <v>16126</v>
      </c>
      <c r="I202" s="217" t="s">
        <v>1773</v>
      </c>
      <c r="J202" s="217" t="s">
        <v>1749</v>
      </c>
      <c r="K202" s="268"/>
      <c r="L202" s="268"/>
      <c r="M202" s="268"/>
      <c r="N202" s="268" t="s">
        <v>16127</v>
      </c>
      <c r="O202" s="268" t="s">
        <v>16128</v>
      </c>
      <c r="P202" s="218"/>
      <c r="Q202" s="269" t="s">
        <v>15609</v>
      </c>
      <c r="R202" s="215" t="str">
        <f ca="1">IF(ISERROR($V202),"",OFFSET('Smelter Look-up'!$C$4,$V202-4,0)&amp;"")</f>
        <v>Alpha</v>
      </c>
      <c r="S202" s="222" t="str">
        <f t="shared" ca="1" si="30"/>
        <v>US</v>
      </c>
      <c r="T202" s="222" t="str">
        <f ca="1">IF(B202="","",IF(ISERROR(MATCH($J202,SorP!$B$1:$B$6230,0)),"",INDIRECT("'SorP'!$A$"&amp;MATCH($J202,SorP!$B$1:$B$6230,0))))</f>
        <v>US-PA</v>
      </c>
      <c r="U202" s="238"/>
      <c r="V202" s="270">
        <f>IF(C202="",NA(),MATCH($B202&amp;$C202,'Smelter Look-up'!$J:$J,0))</f>
        <v>384</v>
      </c>
      <c r="W202" s="271"/>
      <c r="X202" s="271">
        <f t="shared" si="31"/>
        <v>0</v>
      </c>
      <c r="Y202" s="271"/>
      <c r="Z202" s="271"/>
      <c r="AB202" s="273" t="str">
        <f t="shared" si="32"/>
        <v>TinAlpha</v>
      </c>
    </row>
    <row r="203" spans="1:28" s="272" customFormat="1" ht="140.25">
      <c r="A203" s="215" t="s">
        <v>2303</v>
      </c>
      <c r="B203" s="215" t="s">
        <v>1131</v>
      </c>
      <c r="C203" s="219" t="s">
        <v>2363</v>
      </c>
      <c r="D203" s="278" t="s">
        <v>2363</v>
      </c>
      <c r="E203" s="215" t="s">
        <v>1100</v>
      </c>
      <c r="F203" s="215" t="str">
        <f ca="1">IF(ISERROR($V203),"",OFFSET('Smelter Look-up'!$E$4,$V203-4,0))</f>
        <v>CID000228</v>
      </c>
      <c r="G203" s="215" t="str">
        <f ca="1">IF(C203=$X$4,"Enter smelter details",IF(ISERROR($V203),"",OFFSET('Smelter Look-up'!$F$4,$V203-4,0)))</f>
        <v>RMI</v>
      </c>
      <c r="H203" s="216" t="s">
        <v>16129</v>
      </c>
      <c r="I203" s="217" t="s">
        <v>1788</v>
      </c>
      <c r="J203" s="217" t="s">
        <v>13846</v>
      </c>
      <c r="K203" s="268"/>
      <c r="L203" s="268"/>
      <c r="M203" s="268"/>
      <c r="N203" s="268" t="s">
        <v>16130</v>
      </c>
      <c r="O203" s="268" t="s">
        <v>16131</v>
      </c>
      <c r="P203" s="218"/>
      <c r="Q203" s="269" t="s">
        <v>15609</v>
      </c>
      <c r="R203" s="215" t="str">
        <f ca="1">IF(ISERROR($V203),"",OFFSET('Smelter Look-up'!$C$4,$V203-4,0)&amp;"")</f>
        <v>Chenzhou Yunxiang Mining and Metallurgy Co., Ltd.</v>
      </c>
      <c r="S203" s="222" t="str">
        <f t="shared" ca="1" si="30"/>
        <v>CN</v>
      </c>
      <c r="T203" s="222" t="str">
        <f ca="1">IF(B203="","",IF(ISERROR(MATCH($J203,SorP!$B$1:$B$6230,0)),"",INDIRECT("'SorP'!$A$"&amp;MATCH($J203,SorP!$B$1:$B$6230,0))))</f>
        <v>CN-HN</v>
      </c>
      <c r="U203" s="238"/>
      <c r="V203" s="270">
        <f>IF(C203="",NA(),MATCH($B203&amp;$C203,'Smelter Look-up'!$J:$J,0))</f>
        <v>392</v>
      </c>
      <c r="W203" s="271"/>
      <c r="X203" s="271">
        <f t="shared" si="31"/>
        <v>0</v>
      </c>
      <c r="Y203" s="271"/>
      <c r="Z203" s="271"/>
      <c r="AB203" s="273" t="str">
        <f t="shared" si="32"/>
        <v>TinChenzhou Yunxiang Mining and Metallurgy Co., Ltd.</v>
      </c>
    </row>
    <row r="204" spans="1:28" s="272" customFormat="1" ht="38.25">
      <c r="A204" s="215"/>
      <c r="B204" s="215" t="s">
        <v>1131</v>
      </c>
      <c r="C204" s="219" t="s">
        <v>1866</v>
      </c>
      <c r="D204" s="278" t="s">
        <v>16132</v>
      </c>
      <c r="E204" s="215" t="s">
        <v>1105</v>
      </c>
      <c r="F204" s="215"/>
      <c r="G204" s="215"/>
      <c r="H204" s="216" t="s">
        <v>16133</v>
      </c>
      <c r="I204" s="217" t="s">
        <v>16134</v>
      </c>
      <c r="J204" s="217" t="s">
        <v>13066</v>
      </c>
      <c r="K204" s="268"/>
      <c r="L204" s="268"/>
      <c r="M204" s="268"/>
      <c r="N204" s="268" t="s">
        <v>16135</v>
      </c>
      <c r="O204" s="268" t="s">
        <v>16135</v>
      </c>
      <c r="P204" s="218"/>
      <c r="Q204" s="269" t="s">
        <v>15609</v>
      </c>
      <c r="R204" s="215" t="str">
        <f ca="1">IF(ISERROR($V204),"",OFFSET('Smelter Look-up'!$C$4,$V204-4,0)&amp;"")</f>
        <v/>
      </c>
      <c r="S204" s="222" t="str">
        <f t="shared" ca="1" si="30"/>
        <v>ID</v>
      </c>
      <c r="T204" s="222" t="str">
        <f ca="1">IF(B204="","",IF(ISERROR(MATCH($J204,SorP!$B$1:$B$6230,0)),"",INDIRECT("'SorP'!$A$"&amp;MATCH($J204,SorP!$B$1:$B$6230,0))))</f>
        <v>ID-BB</v>
      </c>
      <c r="U204" s="238"/>
      <c r="V204" s="270">
        <f>IF(C204="",NA(),MATCH($B204&amp;$C204,'Smelter Look-up'!$J:$J,0))</f>
        <v>531</v>
      </c>
      <c r="W204" s="271"/>
      <c r="X204" s="271">
        <f t="shared" si="31"/>
        <v>0</v>
      </c>
      <c r="Y204" s="271"/>
      <c r="Z204" s="271"/>
      <c r="AB204" s="273" t="str">
        <f t="shared" si="32"/>
        <v>TinSmelter not listed</v>
      </c>
    </row>
    <row r="205" spans="1:28" s="272" customFormat="1" ht="38.25">
      <c r="A205" s="215"/>
      <c r="B205" s="215" t="s">
        <v>1131</v>
      </c>
      <c r="C205" s="219" t="s">
        <v>1866</v>
      </c>
      <c r="D205" s="278" t="s">
        <v>16136</v>
      </c>
      <c r="E205" s="215" t="s">
        <v>1105</v>
      </c>
      <c r="F205" s="215"/>
      <c r="G205" s="215"/>
      <c r="H205" s="216" t="s">
        <v>16072</v>
      </c>
      <c r="I205" s="217" t="s">
        <v>15438</v>
      </c>
      <c r="J205" s="217" t="s">
        <v>13066</v>
      </c>
      <c r="K205" s="268"/>
      <c r="L205" s="268"/>
      <c r="M205" s="268"/>
      <c r="N205" s="268"/>
      <c r="O205" s="268" t="s">
        <v>1105</v>
      </c>
      <c r="P205" s="218"/>
      <c r="Q205" s="269"/>
      <c r="R205" s="215" t="str">
        <f ca="1">IF(ISERROR($V205),"",OFFSET('Smelter Look-up'!$C$4,$V205-4,0)&amp;"")</f>
        <v/>
      </c>
      <c r="S205" s="222" t="str">
        <f t="shared" ca="1" si="30"/>
        <v>ID</v>
      </c>
      <c r="T205" s="222" t="str">
        <f ca="1">IF(B205="","",IF(ISERROR(MATCH($J205,SorP!$B$1:$B$6230,0)),"",INDIRECT("'SorP'!$A$"&amp;MATCH($J205,SorP!$B$1:$B$6230,0))))</f>
        <v>ID-BB</v>
      </c>
      <c r="U205" s="238"/>
      <c r="V205" s="270">
        <f>IF(C205="",NA(),MATCH($B205&amp;$C205,'Smelter Look-up'!$J:$J,0))</f>
        <v>531</v>
      </c>
      <c r="W205" s="271"/>
      <c r="X205" s="271">
        <f t="shared" si="31"/>
        <v>0</v>
      </c>
      <c r="Y205" s="271"/>
      <c r="Z205" s="271"/>
      <c r="AB205" s="273" t="str">
        <f t="shared" si="32"/>
        <v>TinSmelter not listed</v>
      </c>
    </row>
    <row r="206" spans="1:28" s="272" customFormat="1" ht="38.25">
      <c r="A206" s="215"/>
      <c r="B206" s="215" t="s">
        <v>1131</v>
      </c>
      <c r="C206" s="219" t="s">
        <v>1866</v>
      </c>
      <c r="D206" s="278" t="s">
        <v>16137</v>
      </c>
      <c r="E206" s="215" t="s">
        <v>1105</v>
      </c>
      <c r="F206" s="215"/>
      <c r="G206" s="215"/>
      <c r="H206" s="216" t="s">
        <v>16032</v>
      </c>
      <c r="I206" s="217" t="s">
        <v>15438</v>
      </c>
      <c r="J206" s="217" t="s">
        <v>13066</v>
      </c>
      <c r="K206" s="268"/>
      <c r="L206" s="268"/>
      <c r="M206" s="268"/>
      <c r="N206" s="268" t="s">
        <v>16138</v>
      </c>
      <c r="O206" s="268" t="s">
        <v>1105</v>
      </c>
      <c r="P206" s="218"/>
      <c r="Q206" s="269" t="s">
        <v>15609</v>
      </c>
      <c r="R206" s="215" t="str">
        <f ca="1">IF(ISERROR($V206),"",OFFSET('Smelter Look-up'!$C$4,$V206-4,0)&amp;"")</f>
        <v/>
      </c>
      <c r="S206" s="222" t="str">
        <f t="shared" ca="1" si="30"/>
        <v>ID</v>
      </c>
      <c r="T206" s="222" t="str">
        <f ca="1">IF(B206="","",IF(ISERROR(MATCH($J206,SorP!$B$1:$B$6230,0)),"",INDIRECT("'SorP'!$A$"&amp;MATCH($J206,SorP!$B$1:$B$6230,0))))</f>
        <v>ID-BB</v>
      </c>
      <c r="U206" s="238"/>
      <c r="V206" s="270">
        <f>IF(C206="",NA(),MATCH($B206&amp;$C206,'Smelter Look-up'!$J:$J,0))</f>
        <v>531</v>
      </c>
      <c r="W206" s="271"/>
      <c r="X206" s="271">
        <f t="shared" si="31"/>
        <v>0</v>
      </c>
      <c r="Y206" s="271"/>
      <c r="Z206" s="271"/>
      <c r="AB206" s="273" t="str">
        <f t="shared" si="32"/>
        <v>TinSmelter not listed</v>
      </c>
    </row>
    <row r="207" spans="1:28" s="272" customFormat="1" ht="38.25">
      <c r="A207" s="215"/>
      <c r="B207" s="215" t="s">
        <v>1131</v>
      </c>
      <c r="C207" s="219" t="s">
        <v>1866</v>
      </c>
      <c r="D207" s="278" t="s">
        <v>16139</v>
      </c>
      <c r="E207" s="215" t="s">
        <v>1105</v>
      </c>
      <c r="F207" s="215"/>
      <c r="G207" s="215"/>
      <c r="H207" s="216" t="s">
        <v>16140</v>
      </c>
      <c r="I207" s="217" t="s">
        <v>16141</v>
      </c>
      <c r="J207" s="217" t="s">
        <v>13066</v>
      </c>
      <c r="K207" s="268"/>
      <c r="L207" s="268"/>
      <c r="M207" s="268"/>
      <c r="N207" s="268"/>
      <c r="O207" s="268"/>
      <c r="P207" s="218"/>
      <c r="Q207" s="269"/>
      <c r="R207" s="215" t="str">
        <f ca="1">IF(ISERROR($V207),"",OFFSET('Smelter Look-up'!$C$4,$V207-4,0)&amp;"")</f>
        <v/>
      </c>
      <c r="S207" s="222" t="str">
        <f t="shared" ca="1" si="30"/>
        <v>ID</v>
      </c>
      <c r="T207" s="222" t="str">
        <f ca="1">IF(B207="","",IF(ISERROR(MATCH($J207,SorP!$B$1:$B$6230,0)),"",INDIRECT("'SorP'!$A$"&amp;MATCH($J207,SorP!$B$1:$B$6230,0))))</f>
        <v>ID-BB</v>
      </c>
      <c r="U207" s="238"/>
      <c r="V207" s="270">
        <f>IF(C207="",NA(),MATCH($B207&amp;$C207,'Smelter Look-up'!$J:$J,0))</f>
        <v>531</v>
      </c>
      <c r="W207" s="271"/>
      <c r="X207" s="271">
        <f t="shared" si="31"/>
        <v>0</v>
      </c>
      <c r="Y207" s="271"/>
      <c r="Z207" s="271"/>
      <c r="AB207" s="273" t="str">
        <f t="shared" si="32"/>
        <v>TinSmelter not listed</v>
      </c>
    </row>
    <row r="208" spans="1:28" s="272" customFormat="1" ht="63.75">
      <c r="A208" s="215" t="s">
        <v>14050</v>
      </c>
      <c r="B208" s="215" t="s">
        <v>1133</v>
      </c>
      <c r="C208" s="219" t="s">
        <v>14049</v>
      </c>
      <c r="D208" s="278" t="s">
        <v>14049</v>
      </c>
      <c r="E208" s="215" t="s">
        <v>2462</v>
      </c>
      <c r="F208" s="215" t="str">
        <f ca="1">IF(ISERROR($V208),"",OFFSET('Smelter Look-up'!$E$4,$V208-4,0))</f>
        <v>CID003407</v>
      </c>
      <c r="G208" s="215" t="str">
        <f ca="1">IF(C208=$X$4,"Enter smelter details",IF(ISERROR($V208),"",OFFSET('Smelter Look-up'!$F$4,$V208-4,0)))</f>
        <v>RMI</v>
      </c>
      <c r="H208" s="216" t="s">
        <v>16142</v>
      </c>
      <c r="I208" s="217" t="s">
        <v>14063</v>
      </c>
      <c r="J208" s="217" t="s">
        <v>11694</v>
      </c>
      <c r="K208" s="268"/>
      <c r="L208" s="268"/>
      <c r="M208" s="268"/>
      <c r="N208" s="268" t="s">
        <v>16005</v>
      </c>
      <c r="O208" s="268" t="s">
        <v>16143</v>
      </c>
      <c r="P208" s="218"/>
      <c r="Q208" s="269" t="s">
        <v>15609</v>
      </c>
      <c r="R208" s="215" t="str">
        <f ca="1">IF(ISERROR($V208),"",OFFSET('Smelter Look-up'!$C$4,$V208-4,0)&amp;"")</f>
        <v>Lianyou Metals Co., Ltd.</v>
      </c>
      <c r="S208" s="222" t="str">
        <f t="shared" ca="1" si="30"/>
        <v>TW</v>
      </c>
      <c r="T208" s="222" t="str">
        <f ca="1">IF(B208="","",IF(ISERROR(MATCH($J208,SorP!$B$1:$B$6230,0)),"",INDIRECT("'SorP'!$A$"&amp;MATCH($J208,SorP!$B$1:$B$6230,0))))</f>
        <v>TW-PIF</v>
      </c>
      <c r="U208" s="238"/>
      <c r="V208" s="270">
        <f>IF(C208="",NA(),MATCH($B208&amp;$C208,'Smelter Look-up'!$J:$J,0))</f>
        <v>585</v>
      </c>
      <c r="W208" s="271"/>
      <c r="X208" s="271">
        <f t="shared" si="31"/>
        <v>0</v>
      </c>
      <c r="Y208" s="271"/>
      <c r="Z208" s="271"/>
      <c r="AB208" s="273" t="str">
        <f t="shared" si="32"/>
        <v>TungstenLianyou Metals Co., Ltd.</v>
      </c>
    </row>
    <row r="209" spans="1:28" s="272" customFormat="1" ht="76.5">
      <c r="A209" s="215" t="s">
        <v>14043</v>
      </c>
      <c r="B209" s="215" t="s">
        <v>1133</v>
      </c>
      <c r="C209" s="219" t="s">
        <v>14042</v>
      </c>
      <c r="D209" s="278" t="s">
        <v>14042</v>
      </c>
      <c r="E209" s="215" t="s">
        <v>1100</v>
      </c>
      <c r="F209" s="215" t="str">
        <f ca="1">IF(ISERROR($V209),"",OFFSET('Smelter Look-up'!$E$4,$V209-4,0))</f>
        <v>CID003401</v>
      </c>
      <c r="G209" s="215" t="str">
        <f ca="1">IF(C209=$X$4,"Enter smelter details",IF(ISERROR($V209),"",OFFSET('Smelter Look-up'!$F$4,$V209-4,0)))</f>
        <v>RMI</v>
      </c>
      <c r="H209" s="216" t="s">
        <v>16144</v>
      </c>
      <c r="I209" s="217" t="s">
        <v>14068</v>
      </c>
      <c r="J209" s="217" t="s">
        <v>13841</v>
      </c>
      <c r="K209" s="268"/>
      <c r="L209" s="268"/>
      <c r="M209" s="268"/>
      <c r="N209" s="268" t="s">
        <v>16145</v>
      </c>
      <c r="O209" s="268" t="s">
        <v>16146</v>
      </c>
      <c r="P209" s="218"/>
      <c r="Q209" s="269" t="s">
        <v>15609</v>
      </c>
      <c r="R209" s="215" t="str">
        <f ca="1">IF(ISERROR($V209),"",OFFSET('Smelter Look-up'!$C$4,$V209-4,0)&amp;"")</f>
        <v>Fujian Ganmin RareMetal Co., Ltd.</v>
      </c>
      <c r="S209" s="222" t="str">
        <f t="shared" ca="1" si="30"/>
        <v>CN</v>
      </c>
      <c r="T209" s="222" t="str">
        <f ca="1">IF(B209="","",IF(ISERROR(MATCH($J209,SorP!$B$1:$B$6230,0)),"",INDIRECT("'SorP'!$A$"&amp;MATCH($J209,SorP!$B$1:$B$6230,0))))</f>
        <v>CN-FJ</v>
      </c>
      <c r="U209" s="238"/>
      <c r="V209" s="270">
        <f>IF(C209="",NA(),MATCH($B209&amp;$C209,'Smelter Look-up'!$J:$J,0))</f>
        <v>553</v>
      </c>
      <c r="W209" s="271"/>
      <c r="X209" s="271">
        <f t="shared" si="31"/>
        <v>0</v>
      </c>
      <c r="Y209" s="271"/>
      <c r="Z209" s="271"/>
      <c r="AB209" s="273" t="str">
        <f t="shared" si="32"/>
        <v>TungstenFujian Ganmin RareMetal Co., Ltd.</v>
      </c>
    </row>
    <row r="210" spans="1:28" s="272" customFormat="1" ht="63.75">
      <c r="A210" s="215" t="s">
        <v>14048</v>
      </c>
      <c r="B210" s="215" t="s">
        <v>1133</v>
      </c>
      <c r="C210" s="219" t="s">
        <v>14047</v>
      </c>
      <c r="D210" s="278" t="s">
        <v>14047</v>
      </c>
      <c r="E210" s="215" t="s">
        <v>1111</v>
      </c>
      <c r="F210" s="215" t="str">
        <f ca="1">IF(ISERROR($V210),"",OFFSET('Smelter Look-up'!$E$4,$V210-4,0))</f>
        <v>CID003388</v>
      </c>
      <c r="G210" s="215" t="str">
        <f ca="1">IF(C210=$X$4,"Enter smelter details",IF(ISERROR($V210),"",OFFSET('Smelter Look-up'!$F$4,$V210-4,0)))</f>
        <v>RMI</v>
      </c>
      <c r="H210" s="216" t="s">
        <v>16147</v>
      </c>
      <c r="I210" s="217" t="s">
        <v>14062</v>
      </c>
      <c r="J210" s="217" t="s">
        <v>13085</v>
      </c>
      <c r="K210" s="268"/>
      <c r="L210" s="268"/>
      <c r="M210" s="268"/>
      <c r="N210" s="268" t="s">
        <v>16005</v>
      </c>
      <c r="O210" s="268" t="s">
        <v>16143</v>
      </c>
      <c r="P210" s="218"/>
      <c r="Q210" s="269" t="s">
        <v>15609</v>
      </c>
      <c r="R210" s="215" t="str">
        <f ca="1">IF(ISERROR($V210),"",OFFSET('Smelter Look-up'!$C$4,$V210-4,0)&amp;"")</f>
        <v>KGETS Co., Ltd.</v>
      </c>
      <c r="S210" s="222" t="str">
        <f t="shared" ca="1" si="30"/>
        <v>KR</v>
      </c>
      <c r="T210" s="222" t="str">
        <f ca="1">IF(B210="","",IF(ISERROR(MATCH($J210,SorP!$B$1:$B$6230,0)),"",INDIRECT("'SorP'!$A$"&amp;MATCH($J210,SorP!$B$1:$B$6230,0))))</f>
        <v>KR-41</v>
      </c>
      <c r="U210" s="238"/>
      <c r="V210" s="270">
        <f>IF(C210="",NA(),MATCH($B210&amp;$C210,'Smelter Look-up'!$J:$J,0))</f>
        <v>584</v>
      </c>
      <c r="W210" s="271"/>
      <c r="X210" s="271">
        <f t="shared" si="31"/>
        <v>0</v>
      </c>
      <c r="Y210" s="271"/>
      <c r="Z210" s="271"/>
      <c r="AB210" s="273" t="str">
        <f t="shared" si="32"/>
        <v>TungstenKGETS Co., Ltd.</v>
      </c>
    </row>
    <row r="211" spans="1:28" s="272" customFormat="1" ht="38.25">
      <c r="A211" s="215" t="s">
        <v>2290</v>
      </c>
      <c r="B211" s="215" t="s">
        <v>1133</v>
      </c>
      <c r="C211" s="219" t="s">
        <v>2573</v>
      </c>
      <c r="D211" s="278" t="s">
        <v>2573</v>
      </c>
      <c r="E211" s="215" t="s">
        <v>883</v>
      </c>
      <c r="F211" s="215" t="str">
        <f ca="1">IF(ISERROR($V211),"",OFFSET('Smelter Look-up'!$E$4,$V211-4,0))</f>
        <v>CID002845</v>
      </c>
      <c r="G211" s="215" t="str">
        <f ca="1">IF(C211=$X$4,"Enter smelter details",IF(ISERROR($V211),"",OFFSET('Smelter Look-up'!$F$4,$V211-4,0)))</f>
        <v>RMI</v>
      </c>
      <c r="H211" s="216" t="s">
        <v>16148</v>
      </c>
      <c r="I211" s="217" t="s">
        <v>2291</v>
      </c>
      <c r="J211" s="217" t="s">
        <v>10169</v>
      </c>
      <c r="K211" s="268"/>
      <c r="L211" s="268"/>
      <c r="M211" s="268"/>
      <c r="N211" s="268" t="s">
        <v>15755</v>
      </c>
      <c r="O211" s="268" t="s">
        <v>16149</v>
      </c>
      <c r="P211" s="218"/>
      <c r="Q211" s="269" t="s">
        <v>15609</v>
      </c>
      <c r="R211" s="215" t="str">
        <f ca="1">IF(ISERROR($V211),"",OFFSET('Smelter Look-up'!$C$4,$V211-4,0)&amp;"")</f>
        <v>Moliren Ltd.</v>
      </c>
      <c r="S211" s="222" t="str">
        <f t="shared" ca="1" si="30"/>
        <v>RU</v>
      </c>
      <c r="T211" s="222" t="str">
        <f ca="1">IF(B211="","",IF(ISERROR(MATCH($J211,SorP!$B$1:$B$6230,0)),"",INDIRECT("'SorP'!$A$"&amp;MATCH($J211,SorP!$B$1:$B$6230,0))))</f>
        <v>RU-MOS</v>
      </c>
      <c r="U211" s="238"/>
      <c r="V211" s="270">
        <f>IF(C211="",NA(),MATCH($B211&amp;$C211,'Smelter Look-up'!$J:$J,0))</f>
        <v>589</v>
      </c>
      <c r="W211" s="271"/>
      <c r="X211" s="271">
        <f t="shared" si="31"/>
        <v>0</v>
      </c>
      <c r="Y211" s="271"/>
      <c r="Z211" s="271"/>
      <c r="AB211" s="273" t="str">
        <f t="shared" si="32"/>
        <v>TungstenMoliren Ltd.</v>
      </c>
    </row>
    <row r="212" spans="1:28" s="272" customFormat="1" ht="76.5">
      <c r="A212" s="215" t="s">
        <v>2286</v>
      </c>
      <c r="B212" s="215" t="s">
        <v>1133</v>
      </c>
      <c r="C212" s="219" t="s">
        <v>2285</v>
      </c>
      <c r="D212" s="278" t="s">
        <v>2285</v>
      </c>
      <c r="E212" s="215" t="s">
        <v>1096</v>
      </c>
      <c r="F212" s="215" t="str">
        <f ca="1">IF(ISERROR($V212),"",OFFSET('Smelter Look-up'!$E$4,$V212-4,0))</f>
        <v>CID002833</v>
      </c>
      <c r="G212" s="215" t="str">
        <f ca="1">IF(C212=$X$4,"Enter smelter details",IF(ISERROR($V212),"",OFFSET('Smelter Look-up'!$F$4,$V212-4,0)))</f>
        <v>RMI</v>
      </c>
      <c r="H212" s="216" t="s">
        <v>16150</v>
      </c>
      <c r="I212" s="217" t="s">
        <v>2287</v>
      </c>
      <c r="J212" s="217" t="s">
        <v>1683</v>
      </c>
      <c r="K212" s="268"/>
      <c r="L212" s="268"/>
      <c r="M212" s="268"/>
      <c r="N212" s="268" t="s">
        <v>15755</v>
      </c>
      <c r="O212" s="268" t="s">
        <v>16151</v>
      </c>
      <c r="P212" s="218"/>
      <c r="Q212" s="269" t="s">
        <v>15609</v>
      </c>
      <c r="R212" s="215" t="str">
        <f ca="1">IF(ISERROR($V212),"",OFFSET('Smelter Look-up'!$C$4,$V212-4,0)&amp;"")</f>
        <v>ACL Metais Eireli</v>
      </c>
      <c r="S212" s="222" t="str">
        <f t="shared" ca="1" si="30"/>
        <v>BR</v>
      </c>
      <c r="T212" s="222" t="str">
        <f ca="1">IF(B212="","",IF(ISERROR(MATCH($J212,SorP!$B$1:$B$6230,0)),"",INDIRECT("'SorP'!$A$"&amp;MATCH($J212,SorP!$B$1:$B$6230,0))))</f>
        <v>BR-SP</v>
      </c>
      <c r="U212" s="238"/>
      <c r="V212" s="270">
        <f>IF(C212="",NA(),MATCH($B212&amp;$C212,'Smelter Look-up'!$J:$J,0))</f>
        <v>535</v>
      </c>
      <c r="W212" s="271"/>
      <c r="X212" s="271">
        <f t="shared" si="31"/>
        <v>0</v>
      </c>
      <c r="Y212" s="271"/>
      <c r="Z212" s="271"/>
      <c r="AB212" s="273" t="str">
        <f t="shared" si="32"/>
        <v>TungstenACL Metais Eireli</v>
      </c>
    </row>
    <row r="213" spans="1:28" s="272" customFormat="1" ht="140.25">
      <c r="A213" s="215" t="s">
        <v>2298</v>
      </c>
      <c r="B213" s="215" t="s">
        <v>1133</v>
      </c>
      <c r="C213" s="219" t="s">
        <v>2297</v>
      </c>
      <c r="D213" s="278" t="s">
        <v>2297</v>
      </c>
      <c r="E213" s="215" t="s">
        <v>1100</v>
      </c>
      <c r="F213" s="215" t="str">
        <f ca="1">IF(ISERROR($V213),"",OFFSET('Smelter Look-up'!$E$4,$V213-4,0))</f>
        <v>CID002830</v>
      </c>
      <c r="G213" s="215" t="str">
        <f ca="1">IF(C213=$X$4,"Enter smelter details",IF(ISERROR($V213),"",OFFSET('Smelter Look-up'!$F$4,$V213-4,0)))</f>
        <v>RMI</v>
      </c>
      <c r="H213" s="216" t="s">
        <v>16018</v>
      </c>
      <c r="I213" s="217" t="s">
        <v>1787</v>
      </c>
      <c r="J213" s="217" t="s">
        <v>13842</v>
      </c>
      <c r="K213" s="268"/>
      <c r="L213" s="268"/>
      <c r="M213" s="268"/>
      <c r="N213" s="268" t="s">
        <v>15755</v>
      </c>
      <c r="O213" s="268" t="s">
        <v>16152</v>
      </c>
      <c r="P213" s="218"/>
      <c r="Q213" s="269" t="s">
        <v>15609</v>
      </c>
      <c r="R213" s="215" t="str">
        <f ca="1">IF(ISERROR($V213),"",OFFSET('Smelter Look-up'!$C$4,$V213-4,0)&amp;"")</f>
        <v>Xinfeng Huarui Tungsten &amp; Molybdenum New Material Co., Ltd.</v>
      </c>
      <c r="S213" s="222" t="str">
        <f t="shared" ca="1" si="30"/>
        <v>CN</v>
      </c>
      <c r="T213" s="222" t="str">
        <f ca="1">IF(B213="","",IF(ISERROR(MATCH($J213,SorP!$B$1:$B$6230,0)),"",INDIRECT("'SorP'!$A$"&amp;MATCH($J213,SorP!$B$1:$B$6230,0))))</f>
        <v>CN-JX</v>
      </c>
      <c r="U213" s="238"/>
      <c r="V213" s="270">
        <f>IF(C213="",NA(),MATCH($B213&amp;$C213,'Smelter Look-up'!$J:$J,0))</f>
        <v>606</v>
      </c>
      <c r="W213" s="271"/>
      <c r="X213" s="271">
        <f t="shared" si="31"/>
        <v>0</v>
      </c>
      <c r="Y213" s="271"/>
      <c r="Z213" s="271"/>
      <c r="AB213" s="273" t="str">
        <f t="shared" si="32"/>
        <v>TungstenXinfeng Huarui Tungsten &amp; Molybdenum New Material Co., Ltd.</v>
      </c>
    </row>
    <row r="214" spans="1:28" s="272" customFormat="1" ht="102">
      <c r="A214" s="215" t="s">
        <v>2292</v>
      </c>
      <c r="B214" s="215" t="s">
        <v>1133</v>
      </c>
      <c r="C214" s="219" t="s">
        <v>2371</v>
      </c>
      <c r="D214" s="278" t="s">
        <v>2371</v>
      </c>
      <c r="E214" s="215" t="s">
        <v>881</v>
      </c>
      <c r="F214" s="215" t="str">
        <f ca="1">IF(ISERROR($V214),"",OFFSET('Smelter Look-up'!$E$4,$V214-4,0))</f>
        <v>CID002827</v>
      </c>
      <c r="G214" s="215" t="str">
        <f ca="1">IF(C214=$X$4,"Enter smelter details",IF(ISERROR($V214),"",OFFSET('Smelter Look-up'!$F$4,$V214-4,0)))</f>
        <v>RMI</v>
      </c>
      <c r="H214" s="216" t="s">
        <v>16153</v>
      </c>
      <c r="I214" s="217" t="s">
        <v>2293</v>
      </c>
      <c r="J214" s="217" t="s">
        <v>2294</v>
      </c>
      <c r="K214" s="268"/>
      <c r="L214" s="268"/>
      <c r="M214" s="268"/>
      <c r="N214" s="268" t="s">
        <v>16005</v>
      </c>
      <c r="O214" s="268" t="s">
        <v>16154</v>
      </c>
      <c r="P214" s="218"/>
      <c r="Q214" s="269" t="s">
        <v>15609</v>
      </c>
      <c r="R214" s="215" t="str">
        <f ca="1">IF(ISERROR($V214),"",OFFSET('Smelter Look-up'!$C$4,$V214-4,0)&amp;"")</f>
        <v>Philippine Chuangxin Industrial Co., Inc.</v>
      </c>
      <c r="S214" s="222" t="str">
        <f t="shared" ca="1" si="30"/>
        <v>PH</v>
      </c>
      <c r="T214" s="222" t="str">
        <f ca="1">IF(B214="","",IF(ISERROR(MATCH($J214,SorP!$B$1:$B$6230,0)),"",INDIRECT("'SorP'!$A$"&amp;MATCH($J214,SorP!$B$1:$B$6230,0))))</f>
        <v>PH-BUL</v>
      </c>
      <c r="U214" s="238"/>
      <c r="V214" s="270">
        <f>IF(C214="",NA(),MATCH($B214&amp;$C214,'Smelter Look-up'!$J:$J,0))</f>
        <v>595</v>
      </c>
      <c r="W214" s="271"/>
      <c r="X214" s="271">
        <f t="shared" si="31"/>
        <v>0</v>
      </c>
      <c r="Y214" s="271"/>
      <c r="Z214" s="271"/>
      <c r="AB214" s="273" t="str">
        <f t="shared" si="32"/>
        <v>TungstenPhilippine Chuangxin Industrial Co., Inc.</v>
      </c>
    </row>
    <row r="215" spans="1:28" s="272" customFormat="1" ht="102">
      <c r="A215" s="215" t="s">
        <v>2479</v>
      </c>
      <c r="B215" s="215" t="s">
        <v>1133</v>
      </c>
      <c r="C215" s="219" t="s">
        <v>2478</v>
      </c>
      <c r="D215" s="278" t="s">
        <v>2478</v>
      </c>
      <c r="E215" s="215" t="s">
        <v>883</v>
      </c>
      <c r="F215" s="215" t="str">
        <f ca="1">IF(ISERROR($V215),"",OFFSET('Smelter Look-up'!$E$4,$V215-4,0))</f>
        <v>CID002724</v>
      </c>
      <c r="G215" s="215" t="str">
        <f ca="1">IF(C215=$X$4,"Enter smelter details",IF(ISERROR($V215),"",OFFSET('Smelter Look-up'!$F$4,$V215-4,0)))</f>
        <v>RMI</v>
      </c>
      <c r="H215" s="216" t="s">
        <v>16155</v>
      </c>
      <c r="I215" s="217" t="s">
        <v>2574</v>
      </c>
      <c r="J215" s="217" t="s">
        <v>10156</v>
      </c>
      <c r="K215" s="268"/>
      <c r="L215" s="268"/>
      <c r="M215" s="268"/>
      <c r="N215" s="268" t="s">
        <v>16156</v>
      </c>
      <c r="O215" s="268" t="s">
        <v>16157</v>
      </c>
      <c r="P215" s="218"/>
      <c r="Q215" s="269" t="s">
        <v>15609</v>
      </c>
      <c r="R215" s="215" t="str">
        <f ca="1">IF(ISERROR($V215),"",OFFSET('Smelter Look-up'!$C$4,$V215-4,0)&amp;"")</f>
        <v>Unecha Refractory metals plant</v>
      </c>
      <c r="S215" s="222" t="str">
        <f t="shared" ca="1" si="30"/>
        <v>RU</v>
      </c>
      <c r="T215" s="222" t="str">
        <f ca="1">IF(B215="","",IF(ISERROR(MATCH($J215,SorP!$B$1:$B$6230,0)),"",INDIRECT("'SorP'!$A$"&amp;MATCH($J215,SorP!$B$1:$B$6230,0))))</f>
        <v>RU-BRY</v>
      </c>
      <c r="U215" s="238"/>
      <c r="V215" s="270">
        <f>IF(C215="",NA(),MATCH($B215&amp;$C215,'Smelter Look-up'!$J:$J,0))</f>
        <v>597</v>
      </c>
      <c r="W215" s="271"/>
      <c r="X215" s="271">
        <f t="shared" si="31"/>
        <v>0</v>
      </c>
      <c r="Y215" s="271"/>
      <c r="Z215" s="271"/>
      <c r="AB215" s="273" t="str">
        <f t="shared" si="32"/>
        <v>TungstenUnecha Refractory metals plant</v>
      </c>
    </row>
    <row r="216" spans="1:28" s="272" customFormat="1" ht="191.25">
      <c r="A216" s="215" t="s">
        <v>1860</v>
      </c>
      <c r="B216" s="215" t="s">
        <v>1133</v>
      </c>
      <c r="C216" s="219" t="s">
        <v>1859</v>
      </c>
      <c r="D216" s="278" t="s">
        <v>1859</v>
      </c>
      <c r="E216" s="215" t="s">
        <v>883</v>
      </c>
      <c r="F216" s="215" t="str">
        <f ca="1">IF(ISERROR($V216),"",OFFSET('Smelter Look-up'!$E$4,$V216-4,0))</f>
        <v>CID002649</v>
      </c>
      <c r="G216" s="215" t="str">
        <f ca="1">IF(C216=$X$4,"Enter smelter details",IF(ISERROR($V216),"",OFFSET('Smelter Look-up'!$F$4,$V216-4,0)))</f>
        <v>RMI</v>
      </c>
      <c r="H216" s="216" t="s">
        <v>16158</v>
      </c>
      <c r="I216" s="217" t="s">
        <v>1861</v>
      </c>
      <c r="J216" s="217" t="s">
        <v>10236</v>
      </c>
      <c r="K216" s="268"/>
      <c r="L216" s="268"/>
      <c r="M216" s="268"/>
      <c r="N216" s="268" t="s">
        <v>16159</v>
      </c>
      <c r="O216" s="268" t="s">
        <v>16160</v>
      </c>
      <c r="P216" s="218"/>
      <c r="Q216" s="269" t="s">
        <v>15609</v>
      </c>
      <c r="R216" s="215" t="str">
        <f ca="1">IF(ISERROR($V216),"",OFFSET('Smelter Look-up'!$C$4,$V216-4,0)&amp;"")</f>
        <v>Hydrometallurg, JSC</v>
      </c>
      <c r="S216" s="222" t="str">
        <f t="shared" ca="1" si="30"/>
        <v>RU</v>
      </c>
      <c r="T216" s="222" t="str">
        <f ca="1">IF(B216="","",IF(ISERROR(MATCH($J216,SorP!$B$1:$B$6230,0)),"",INDIRECT("'SorP'!$A$"&amp;MATCH($J216,SorP!$B$1:$B$6230,0))))</f>
        <v>RU-KB</v>
      </c>
      <c r="U216" s="238"/>
      <c r="V216" s="270">
        <f>IF(C216="",NA(),MATCH($B216&amp;$C216,'Smelter Look-up'!$J:$J,0))</f>
        <v>571</v>
      </c>
      <c r="W216" s="271"/>
      <c r="X216" s="271">
        <f t="shared" si="31"/>
        <v>0</v>
      </c>
      <c r="Y216" s="271"/>
      <c r="Z216" s="271"/>
      <c r="AB216" s="273" t="str">
        <f t="shared" si="32"/>
        <v>TungstenHydrometallurg, JSC</v>
      </c>
    </row>
    <row r="217" spans="1:28" s="272" customFormat="1" ht="127.5">
      <c r="A217" s="215" t="s">
        <v>2569</v>
      </c>
      <c r="B217" s="215" t="s">
        <v>1133</v>
      </c>
      <c r="C217" s="219" t="s">
        <v>13154</v>
      </c>
      <c r="D217" s="278" t="s">
        <v>13154</v>
      </c>
      <c r="E217" s="215" t="s">
        <v>1100</v>
      </c>
      <c r="F217" s="215" t="str">
        <f ca="1">IF(ISERROR($V217),"",OFFSET('Smelter Look-up'!$E$4,$V217-4,0))</f>
        <v>CID002645</v>
      </c>
      <c r="G217" s="215" t="str">
        <f ca="1">IF(C217=$X$4,"Enter smelter details",IF(ISERROR($V217),"",OFFSET('Smelter Look-up'!$F$4,$V217-4,0)))</f>
        <v>RMI</v>
      </c>
      <c r="H217" s="216" t="s">
        <v>16018</v>
      </c>
      <c r="I217" s="217" t="s">
        <v>1787</v>
      </c>
      <c r="J217" s="217" t="s">
        <v>13842</v>
      </c>
      <c r="K217" s="268"/>
      <c r="L217" s="268"/>
      <c r="M217" s="268"/>
      <c r="N217" s="268" t="s">
        <v>16161</v>
      </c>
      <c r="O217" s="268" t="s">
        <v>16162</v>
      </c>
      <c r="P217" s="218"/>
      <c r="Q217" s="269" t="s">
        <v>15609</v>
      </c>
      <c r="R217" s="215" t="str">
        <f ca="1">IF(ISERROR($V217),"",OFFSET('Smelter Look-up'!$C$4,$V217-4,0)&amp;"")</f>
        <v>Ganzhou Haichuang Tungsten Co., Ltd.</v>
      </c>
      <c r="S217" s="222" t="str">
        <f t="shared" ca="1" si="30"/>
        <v>CN</v>
      </c>
      <c r="T217" s="222" t="str">
        <f ca="1">IF(B217="","",IF(ISERROR(MATCH($J217,SorP!$B$1:$B$6230,0)),"",INDIRECT("'SorP'!$A$"&amp;MATCH($J217,SorP!$B$1:$B$6230,0))))</f>
        <v>CN-JX</v>
      </c>
      <c r="U217" s="238"/>
      <c r="V217" s="270">
        <f>IF(C217="",NA(),MATCH($B217&amp;$C217,'Smelter Look-up'!$J:$J,0))</f>
        <v>555</v>
      </c>
      <c r="W217" s="271"/>
      <c r="X217" s="271">
        <f t="shared" si="31"/>
        <v>0</v>
      </c>
      <c r="Y217" s="271"/>
      <c r="Z217" s="271"/>
      <c r="AB217" s="273" t="str">
        <f t="shared" si="32"/>
        <v>TungstenGanzhou Haichuang Tungsten Co., Ltd.</v>
      </c>
    </row>
    <row r="218" spans="1:28" s="272" customFormat="1" ht="89.25">
      <c r="A218" s="215" t="s">
        <v>14040</v>
      </c>
      <c r="B218" s="215" t="s">
        <v>1133</v>
      </c>
      <c r="C218" s="219" t="s">
        <v>15413</v>
      </c>
      <c r="D218" s="278" t="s">
        <v>15413</v>
      </c>
      <c r="E218" s="215" t="s">
        <v>1100</v>
      </c>
      <c r="F218" s="215" t="str">
        <f ca="1">IF(ISERROR($V218),"",OFFSET('Smelter Look-up'!$E$4,$V218-4,0))</f>
        <v>CID002641</v>
      </c>
      <c r="G218" s="215" t="str">
        <f ca="1">IF(C218=$X$4,"Enter smelter details",IF(ISERROR($V218),"",OFFSET('Smelter Look-up'!$F$4,$V218-4,0)))</f>
        <v>RMI</v>
      </c>
      <c r="H218" s="216" t="s">
        <v>16163</v>
      </c>
      <c r="I218" s="217" t="s">
        <v>1622</v>
      </c>
      <c r="J218" s="217" t="s">
        <v>13844</v>
      </c>
      <c r="K218" s="268"/>
      <c r="L218" s="268"/>
      <c r="M218" s="268"/>
      <c r="N218" s="268"/>
      <c r="O218" s="268"/>
      <c r="P218" s="218"/>
      <c r="Q218" s="269" t="s">
        <v>15609</v>
      </c>
      <c r="R218" s="215" t="str">
        <f ca="1">IF(ISERROR($V218),"",OFFSET('Smelter Look-up'!$C$4,$V218-4,0)&amp;"")</f>
        <v>China Molybdenum Tungsten Co., Ltd.</v>
      </c>
      <c r="S218" s="222" t="str">
        <f t="shared" ca="1" si="30"/>
        <v>CN</v>
      </c>
      <c r="T218" s="222" t="str">
        <f ca="1">IF(B218="","",IF(ISERROR(MATCH($J218,SorP!$B$1:$B$6230,0)),"",INDIRECT("'SorP'!$A$"&amp;MATCH($J218,SorP!$B$1:$B$6230,0))))</f>
        <v>CN-HA</v>
      </c>
      <c r="U218" s="238"/>
      <c r="V218" s="270">
        <f>IF(C218="",NA(),MATCH($B218&amp;$C218,'Smelter Look-up'!$J:$J,0))</f>
        <v>547</v>
      </c>
      <c r="W218" s="271"/>
      <c r="X218" s="271">
        <f t="shared" si="31"/>
        <v>0</v>
      </c>
      <c r="Y218" s="271"/>
      <c r="Z218" s="271"/>
      <c r="AB218" s="273" t="str">
        <f t="shared" si="32"/>
        <v>TungstenChina Molybdenum Tungsten Co., Ltd.</v>
      </c>
    </row>
    <row r="219" spans="1:28" s="272" customFormat="1" ht="216.75">
      <c r="A219" s="215" t="s">
        <v>1857</v>
      </c>
      <c r="B219" s="215" t="s">
        <v>1133</v>
      </c>
      <c r="C219" s="219" t="s">
        <v>1856</v>
      </c>
      <c r="D219" s="278" t="s">
        <v>1856</v>
      </c>
      <c r="E219" s="215" t="s">
        <v>2463</v>
      </c>
      <c r="F219" s="215" t="str">
        <f ca="1">IF(ISERROR($V219),"",OFFSET('Smelter Look-up'!$E$4,$V219-4,0))</f>
        <v>CID002589</v>
      </c>
      <c r="G219" s="215" t="str">
        <f ca="1">IF(C219=$X$4,"Enter smelter details",IF(ISERROR($V219),"",OFFSET('Smelter Look-up'!$F$4,$V219-4,0)))</f>
        <v>RMI</v>
      </c>
      <c r="H219" s="216" t="s">
        <v>16164</v>
      </c>
      <c r="I219" s="217" t="s">
        <v>1858</v>
      </c>
      <c r="J219" s="217" t="s">
        <v>1624</v>
      </c>
      <c r="K219" s="268"/>
      <c r="L219" s="268"/>
      <c r="M219" s="268"/>
      <c r="N219" s="268" t="s">
        <v>16165</v>
      </c>
      <c r="O219" s="268" t="s">
        <v>16166</v>
      </c>
      <c r="P219" s="218"/>
      <c r="Q219" s="269" t="s">
        <v>15609</v>
      </c>
      <c r="R219" s="215" t="str">
        <f ca="1">IF(ISERROR($V219),"",OFFSET('Smelter Look-up'!$C$4,$V219-4,0)&amp;"")</f>
        <v>Niagara Refining LLC</v>
      </c>
      <c r="S219" s="222" t="str">
        <f t="shared" ca="1" si="30"/>
        <v>US</v>
      </c>
      <c r="T219" s="222" t="str">
        <f ca="1">IF(B219="","",IF(ISERROR(MATCH($J219,SorP!$B$1:$B$6230,0)),"",INDIRECT("'SorP'!$A$"&amp;MATCH($J219,SorP!$B$1:$B$6230,0))))</f>
        <v>US-NY</v>
      </c>
      <c r="U219" s="238"/>
      <c r="V219" s="270">
        <f>IF(C219="",NA(),MATCH($B219&amp;$C219,'Smelter Look-up'!$J:$J,0))</f>
        <v>590</v>
      </c>
      <c r="W219" s="271"/>
      <c r="X219" s="271">
        <f t="shared" si="31"/>
        <v>0</v>
      </c>
      <c r="Y219" s="271"/>
      <c r="Z219" s="271"/>
      <c r="AB219" s="273" t="str">
        <f t="shared" si="32"/>
        <v>TungstenNiagara Refining LLC</v>
      </c>
    </row>
    <row r="220" spans="1:28" s="272" customFormat="1" ht="114.75">
      <c r="A220" s="215" t="s">
        <v>1431</v>
      </c>
      <c r="B220" s="215" t="s">
        <v>1133</v>
      </c>
      <c r="C220" s="219" t="s">
        <v>1430</v>
      </c>
      <c r="D220" s="278" t="s">
        <v>1430</v>
      </c>
      <c r="E220" s="215" t="s">
        <v>1100</v>
      </c>
      <c r="F220" s="215" t="str">
        <f ca="1">IF(ISERROR($V220),"",OFFSET('Smelter Look-up'!$E$4,$V220-4,0))</f>
        <v>CID002551</v>
      </c>
      <c r="G220" s="215" t="str">
        <f ca="1">IF(C220=$X$4,"Enter smelter details",IF(ISERROR($V220),"",OFFSET('Smelter Look-up'!$F$4,$V220-4,0)))</f>
        <v>RMI</v>
      </c>
      <c r="H220" s="216" t="s">
        <v>16018</v>
      </c>
      <c r="I220" s="217" t="s">
        <v>1787</v>
      </c>
      <c r="J220" s="217" t="s">
        <v>13842</v>
      </c>
      <c r="K220" s="268"/>
      <c r="L220" s="268"/>
      <c r="M220" s="268"/>
      <c r="N220" s="268" t="s">
        <v>16167</v>
      </c>
      <c r="O220" s="268" t="s">
        <v>16168</v>
      </c>
      <c r="P220" s="218"/>
      <c r="Q220" s="269" t="s">
        <v>15609</v>
      </c>
      <c r="R220" s="215" t="str">
        <f ca="1">IF(ISERROR($V220),"",OFFSET('Smelter Look-up'!$C$4,$V220-4,0)&amp;"")</f>
        <v>Jiangwu H.C. Starck Tungsten Products Co., Ltd.</v>
      </c>
      <c r="S220" s="222" t="str">
        <f t="shared" ca="1" si="30"/>
        <v>CN</v>
      </c>
      <c r="T220" s="222" t="str">
        <f ca="1">IF(B220="","",IF(ISERROR(MATCH($J220,SorP!$B$1:$B$6230,0)),"",INDIRECT("'SorP'!$A$"&amp;MATCH($J220,SorP!$B$1:$B$6230,0))))</f>
        <v>CN-JX</v>
      </c>
      <c r="U220" s="238"/>
      <c r="V220" s="270">
        <f>IF(C220="",NA(),MATCH($B220&amp;$C220,'Smelter Look-up'!$J:$J,0))</f>
        <v>573</v>
      </c>
      <c r="W220" s="271"/>
      <c r="X220" s="271">
        <f t="shared" si="31"/>
        <v>0</v>
      </c>
      <c r="Y220" s="271"/>
      <c r="Z220" s="271"/>
      <c r="AB220" s="273" t="str">
        <f t="shared" si="32"/>
        <v>TungstenJiangwu H.C. Starck Tungsten Products Co., Ltd.</v>
      </c>
    </row>
    <row r="221" spans="1:28" s="272" customFormat="1" ht="255">
      <c r="A221" s="215" t="s">
        <v>1432</v>
      </c>
      <c r="B221" s="215" t="s">
        <v>1133</v>
      </c>
      <c r="C221" s="219" t="s">
        <v>15416</v>
      </c>
      <c r="D221" s="278" t="s">
        <v>15416</v>
      </c>
      <c r="E221" s="215" t="s">
        <v>892</v>
      </c>
      <c r="F221" s="215" t="str">
        <f ca="1">IF(ISERROR($V221),"",OFFSET('Smelter Look-up'!$E$4,$V221-4,0))</f>
        <v>CID002543</v>
      </c>
      <c r="G221" s="215" t="str">
        <f ca="1">IF(C221=$X$4,"Enter smelter details",IF(ISERROR($V221),"",OFFSET('Smelter Look-up'!$F$4,$V221-4,0)))</f>
        <v>RMI</v>
      </c>
      <c r="H221" s="216" t="s">
        <v>16169</v>
      </c>
      <c r="I221" s="217" t="s">
        <v>1855</v>
      </c>
      <c r="J221" s="217" t="s">
        <v>12344</v>
      </c>
      <c r="K221" s="268"/>
      <c r="L221" s="268"/>
      <c r="M221" s="268"/>
      <c r="N221" s="268" t="s">
        <v>16170</v>
      </c>
      <c r="O221" s="268" t="s">
        <v>16171</v>
      </c>
      <c r="P221" s="218"/>
      <c r="Q221" s="269" t="s">
        <v>15609</v>
      </c>
      <c r="R221" s="215" t="str">
        <f ca="1">IF(ISERROR($V221),"",OFFSET('Smelter Look-up'!$C$4,$V221-4,0)&amp;"")</f>
        <v>Masan High-Tech Materials</v>
      </c>
      <c r="S221" s="222" t="str">
        <f t="shared" ca="1" si="30"/>
        <v>VN</v>
      </c>
      <c r="T221" s="222" t="str">
        <f ca="1">IF(B221="","",IF(ISERROR(MATCH($J221,SorP!$B$1:$B$6230,0)),"",INDIRECT("'SorP'!$A$"&amp;MATCH($J221,SorP!$B$1:$B$6230,0))))</f>
        <v>VN-69</v>
      </c>
      <c r="U221" s="238"/>
      <c r="V221" s="270">
        <f>IF(C221="",NA(),MATCH($B221&amp;$C221,'Smelter Look-up'!$J:$J,0))</f>
        <v>587</v>
      </c>
      <c r="W221" s="271"/>
      <c r="X221" s="271">
        <f t="shared" si="31"/>
        <v>0</v>
      </c>
      <c r="Y221" s="271"/>
      <c r="Z221" s="271"/>
      <c r="AB221" s="273" t="str">
        <f t="shared" si="32"/>
        <v>TungstenMasan High-Tech Materials</v>
      </c>
    </row>
    <row r="222" spans="1:28" s="272" customFormat="1" ht="229.5">
      <c r="A222" s="215" t="s">
        <v>1429</v>
      </c>
      <c r="B222" s="215" t="s">
        <v>1133</v>
      </c>
      <c r="C222" s="219" t="s">
        <v>15361</v>
      </c>
      <c r="D222" s="278" t="s">
        <v>15361</v>
      </c>
      <c r="E222" s="215" t="s">
        <v>1101</v>
      </c>
      <c r="F222" s="215" t="str">
        <f ca="1">IF(ISERROR($V222),"",OFFSET('Smelter Look-up'!$E$4,$V222-4,0))</f>
        <v>CID002542</v>
      </c>
      <c r="G222" s="215" t="str">
        <f ca="1">IF(C222=$X$4,"Enter smelter details",IF(ISERROR($V222),"",OFFSET('Smelter Look-up'!$F$4,$V222-4,0)))</f>
        <v>RMI</v>
      </c>
      <c r="H222" s="216" t="s">
        <v>15909</v>
      </c>
      <c r="I222" s="217" t="s">
        <v>1762</v>
      </c>
      <c r="J222" s="217" t="s">
        <v>1550</v>
      </c>
      <c r="K222" s="268"/>
      <c r="L222" s="268"/>
      <c r="M222" s="268"/>
      <c r="N222" s="268" t="s">
        <v>16172</v>
      </c>
      <c r="O222" s="268" t="s">
        <v>16173</v>
      </c>
      <c r="P222" s="218"/>
      <c r="Q222" s="269" t="s">
        <v>15609</v>
      </c>
      <c r="R222" s="215" t="str">
        <f ca="1">IF(ISERROR($V222),"",OFFSET('Smelter Look-up'!$C$4,$V222-4,0)&amp;"")</f>
        <v>TANIOBIS Smelting GmbH &amp; Co. KG</v>
      </c>
      <c r="S222" s="222" t="str">
        <f t="shared" ca="1" si="30"/>
        <v>DE</v>
      </c>
      <c r="T222" s="222" t="str">
        <f ca="1">IF(B222="","",IF(ISERROR(MATCH($J222,SorP!$B$1:$B$6230,0)),"",INDIRECT("'SorP'!$A$"&amp;MATCH($J222,SorP!$B$1:$B$6230,0))))</f>
        <v>DE-BW</v>
      </c>
      <c r="U222" s="238"/>
      <c r="V222" s="270">
        <f>IF(C222="",NA(),MATCH($B222&amp;$C222,'Smelter Look-up'!$J:$J,0))</f>
        <v>596</v>
      </c>
      <c r="W222" s="271"/>
      <c r="X222" s="271">
        <f t="shared" si="31"/>
        <v>0</v>
      </c>
      <c r="Y222" s="271"/>
      <c r="Z222" s="271"/>
      <c r="AB222" s="273" t="str">
        <f t="shared" si="32"/>
        <v>TungstenTANIOBIS Smelting GmbH &amp; Co. KG</v>
      </c>
    </row>
    <row r="223" spans="1:28" s="272" customFormat="1" ht="267.75">
      <c r="A223" s="215" t="s">
        <v>1428</v>
      </c>
      <c r="B223" s="215" t="s">
        <v>1133</v>
      </c>
      <c r="C223" s="219" t="s">
        <v>2570</v>
      </c>
      <c r="D223" s="278" t="s">
        <v>2570</v>
      </c>
      <c r="E223" s="215" t="s">
        <v>1101</v>
      </c>
      <c r="F223" s="215" t="str">
        <f ca="1">IF(ISERROR($V223),"",OFFSET('Smelter Look-up'!$E$4,$V223-4,0))</f>
        <v>CID002541</v>
      </c>
      <c r="G223" s="215" t="str">
        <f ca="1">IF(C223=$X$4,"Enter smelter details",IF(ISERROR($V223),"",OFFSET('Smelter Look-up'!$F$4,$V223-4,0)))</f>
        <v>RMI</v>
      </c>
      <c r="H223" s="216" t="s">
        <v>15921</v>
      </c>
      <c r="I223" s="217" t="s">
        <v>1761</v>
      </c>
      <c r="J223" s="217" t="s">
        <v>4284</v>
      </c>
      <c r="K223" s="268"/>
      <c r="L223" s="268"/>
      <c r="M223" s="268"/>
      <c r="N223" s="268" t="s">
        <v>16174</v>
      </c>
      <c r="O223" s="268" t="s">
        <v>16175</v>
      </c>
      <c r="P223" s="218"/>
      <c r="Q223" s="269" t="s">
        <v>15609</v>
      </c>
      <c r="R223" s="215" t="str">
        <f ca="1">IF(ISERROR($V223),"",OFFSET('Smelter Look-up'!$C$4,$V223-4,0)&amp;"")</f>
        <v>H.C. Starck Tungsten GmbH</v>
      </c>
      <c r="S223" s="222" t="str">
        <f t="shared" ca="1" si="30"/>
        <v>DE</v>
      </c>
      <c r="T223" s="222" t="str">
        <f ca="1">IF(B223="","",IF(ISERROR(MATCH($J223,SorP!$B$1:$B$6230,0)),"",INDIRECT("'SorP'!$A$"&amp;MATCH($J223,SorP!$B$1:$B$6230,0))))</f>
        <v>DE-NI</v>
      </c>
      <c r="U223" s="238"/>
      <c r="V223" s="270">
        <f>IF(C223="",NA(),MATCH($B223&amp;$C223,'Smelter Look-up'!$J:$J,0))</f>
        <v>564</v>
      </c>
      <c r="W223" s="271"/>
      <c r="X223" s="271">
        <f t="shared" si="31"/>
        <v>0</v>
      </c>
      <c r="Y223" s="271"/>
      <c r="Z223" s="271"/>
      <c r="AB223" s="273" t="str">
        <f t="shared" si="32"/>
        <v>TungstenH.C. Starck Tungsten GmbH</v>
      </c>
    </row>
    <row r="224" spans="1:28" s="272" customFormat="1" ht="178.5">
      <c r="A224" s="215" t="s">
        <v>1406</v>
      </c>
      <c r="B224" s="215" t="s">
        <v>1133</v>
      </c>
      <c r="C224" s="219" t="s">
        <v>1405</v>
      </c>
      <c r="D224" s="278" t="s">
        <v>1405</v>
      </c>
      <c r="E224" s="215" t="s">
        <v>1100</v>
      </c>
      <c r="F224" s="215" t="str">
        <f ca="1">IF(ISERROR($V224),"",OFFSET('Smelter Look-up'!$E$4,$V224-4,0))</f>
        <v>CID002513</v>
      </c>
      <c r="G224" s="215" t="str">
        <f ca="1">IF(C224=$X$4,"Enter smelter details",IF(ISERROR($V224),"",OFFSET('Smelter Look-up'!$F$4,$V224-4,0)))</f>
        <v>RMI</v>
      </c>
      <c r="H224" s="216" t="s">
        <v>16129</v>
      </c>
      <c r="I224" s="217" t="s">
        <v>1788</v>
      </c>
      <c r="J224" s="217" t="s">
        <v>13846</v>
      </c>
      <c r="K224" s="268"/>
      <c r="L224" s="268"/>
      <c r="M224" s="268"/>
      <c r="N224" s="268" t="s">
        <v>16176</v>
      </c>
      <c r="O224" s="268" t="s">
        <v>16177</v>
      </c>
      <c r="P224" s="218"/>
      <c r="Q224" s="269" t="s">
        <v>15609</v>
      </c>
      <c r="R224" s="215" t="str">
        <f ca="1">IF(ISERROR($V224),"",OFFSET('Smelter Look-up'!$C$4,$V224-4,0)&amp;"")</f>
        <v>Chenzhou Diamond Tungsten Products Co., Ltd.</v>
      </c>
      <c r="S224" s="222" t="str">
        <f t="shared" ca="1" si="30"/>
        <v>CN</v>
      </c>
      <c r="T224" s="222" t="str">
        <f ca="1">IF(B224="","",IF(ISERROR(MATCH($J224,SorP!$B$1:$B$6230,0)),"",INDIRECT("'SorP'!$A$"&amp;MATCH($J224,SorP!$B$1:$B$6230,0))))</f>
        <v>CN-HN</v>
      </c>
      <c r="U224" s="238"/>
      <c r="V224" s="270">
        <f>IF(C224="",NA(),MATCH($B224&amp;$C224,'Smelter Look-up'!$J:$J,0))</f>
        <v>545</v>
      </c>
      <c r="W224" s="271"/>
      <c r="X224" s="271">
        <f t="shared" si="31"/>
        <v>0</v>
      </c>
      <c r="Y224" s="271"/>
      <c r="Z224" s="271"/>
      <c r="AB224" s="273" t="str">
        <f t="shared" si="32"/>
        <v>TungstenChenzhou Diamond Tungsten Products Co., Ltd.</v>
      </c>
    </row>
    <row r="225" spans="1:28" s="272" customFormat="1" ht="191.25">
      <c r="A225" s="215" t="s">
        <v>14111</v>
      </c>
      <c r="B225" s="215" t="s">
        <v>1133</v>
      </c>
      <c r="C225" s="219" t="s">
        <v>14096</v>
      </c>
      <c r="D225" s="278" t="s">
        <v>14096</v>
      </c>
      <c r="E225" s="215" t="s">
        <v>892</v>
      </c>
      <c r="F225" s="215" t="str">
        <f ca="1">IF(ISERROR($V225),"",OFFSET('Smelter Look-up'!$E$4,$V225-4,0))</f>
        <v>CID002502</v>
      </c>
      <c r="G225" s="215" t="str">
        <f ca="1">IF(C225=$X$4,"Enter smelter details",IF(ISERROR($V225),"",OFFSET('Smelter Look-up'!$F$4,$V225-4,0)))</f>
        <v>RMI</v>
      </c>
      <c r="H225" s="216" t="s">
        <v>16178</v>
      </c>
      <c r="I225" s="217" t="s">
        <v>14121</v>
      </c>
      <c r="J225" s="217" t="s">
        <v>1854</v>
      </c>
      <c r="K225" s="268"/>
      <c r="L225" s="268"/>
      <c r="M225" s="268"/>
      <c r="N225" s="268" t="s">
        <v>16179</v>
      </c>
      <c r="O225" s="268" t="s">
        <v>16180</v>
      </c>
      <c r="P225" s="218"/>
      <c r="Q225" s="269" t="s">
        <v>15609</v>
      </c>
      <c r="R225" s="215" t="str">
        <f ca="1">IF(ISERROR($V225),"",OFFSET('Smelter Look-up'!$C$4,$V225-4,0)&amp;"")</f>
        <v>Asia Tungsten Products Vietnam Ltd.</v>
      </c>
      <c r="S225" s="222" t="str">
        <f t="shared" ca="1" si="30"/>
        <v>VN</v>
      </c>
      <c r="T225" s="222" t="str">
        <f ca="1">IF(B225="","",IF(ISERROR(MATCH($J225,SorP!$B$1:$B$6230,0)),"",INDIRECT("'SorP'!$A$"&amp;MATCH($J225,SorP!$B$1:$B$6230,0))))</f>
        <v>VN-HP</v>
      </c>
      <c r="U225" s="238"/>
      <c r="V225" s="270">
        <f>IF(C225="",NA(),MATCH($B225&amp;$C225,'Smelter Look-up'!$J:$J,0))</f>
        <v>541</v>
      </c>
      <c r="W225" s="271"/>
      <c r="X225" s="271">
        <f t="shared" si="31"/>
        <v>0</v>
      </c>
      <c r="Y225" s="271"/>
      <c r="Z225" s="271"/>
      <c r="AB225" s="273" t="str">
        <f t="shared" si="32"/>
        <v>TungstenAsia Tungsten Products Vietnam Ltd.</v>
      </c>
    </row>
    <row r="226" spans="1:28" s="272" customFormat="1" ht="178.5">
      <c r="A226" s="215" t="s">
        <v>393</v>
      </c>
      <c r="B226" s="215" t="s">
        <v>1133</v>
      </c>
      <c r="C226" s="219" t="s">
        <v>392</v>
      </c>
      <c r="D226" s="278" t="s">
        <v>392</v>
      </c>
      <c r="E226" s="215" t="s">
        <v>1100</v>
      </c>
      <c r="F226" s="215" t="str">
        <f ca="1">IF(ISERROR($V226),"",OFFSET('Smelter Look-up'!$E$4,$V226-4,0))</f>
        <v>CID002494</v>
      </c>
      <c r="G226" s="215" t="str">
        <f ca="1">IF(C226=$X$4,"Enter smelter details",IF(ISERROR($V226),"",OFFSET('Smelter Look-up'!$F$4,$V226-4,0)))</f>
        <v>RMI</v>
      </c>
      <c r="H226" s="216" t="s">
        <v>16018</v>
      </c>
      <c r="I226" s="217" t="s">
        <v>1787</v>
      </c>
      <c r="J226" s="217" t="s">
        <v>13842</v>
      </c>
      <c r="K226" s="268"/>
      <c r="L226" s="268"/>
      <c r="M226" s="268"/>
      <c r="N226" s="268" t="s">
        <v>16181</v>
      </c>
      <c r="O226" s="268" t="s">
        <v>16182</v>
      </c>
      <c r="P226" s="218"/>
      <c r="Q226" s="269" t="s">
        <v>15609</v>
      </c>
      <c r="R226" s="215" t="str">
        <f ca="1">IF(ISERROR($V226),"",OFFSET('Smelter Look-up'!$C$4,$V226-4,0)&amp;"")</f>
        <v>Ganzhou Seadragon W &amp; Mo Co., Ltd.</v>
      </c>
      <c r="S226" s="222" t="str">
        <f t="shared" ca="1" si="30"/>
        <v>CN</v>
      </c>
      <c r="T226" s="222" t="str">
        <f ca="1">IF(B226="","",IF(ISERROR(MATCH($J226,SorP!$B$1:$B$6230,0)),"",INDIRECT("'SorP'!$A$"&amp;MATCH($J226,SorP!$B$1:$B$6230,0))))</f>
        <v>CN-JX</v>
      </c>
      <c r="U226" s="238"/>
      <c r="V226" s="270">
        <f>IF(C226="",NA(),MATCH($B226&amp;$C226,'Smelter Look-up'!$J:$J,0))</f>
        <v>558</v>
      </c>
      <c r="W226" s="271"/>
      <c r="X226" s="271">
        <f t="shared" si="31"/>
        <v>0</v>
      </c>
      <c r="Y226" s="271"/>
      <c r="Z226" s="271"/>
      <c r="AB226" s="273" t="str">
        <f t="shared" si="32"/>
        <v>TungstenGanzhou Seadragon W &amp; Mo Co., Ltd.</v>
      </c>
    </row>
    <row r="227" spans="1:28" s="272" customFormat="1" ht="140.25">
      <c r="A227" s="215" t="s">
        <v>138</v>
      </c>
      <c r="B227" s="215" t="s">
        <v>1133</v>
      </c>
      <c r="C227" s="219" t="s">
        <v>157</v>
      </c>
      <c r="D227" s="278" t="s">
        <v>157</v>
      </c>
      <c r="E227" s="215" t="s">
        <v>1100</v>
      </c>
      <c r="F227" s="215" t="str">
        <f ca="1">IF(ISERROR($V227),"",OFFSET('Smelter Look-up'!$E$4,$V227-4,0))</f>
        <v>CID002321</v>
      </c>
      <c r="G227" s="215" t="str">
        <f ca="1">IF(C227=$X$4,"Enter smelter details",IF(ISERROR($V227),"",OFFSET('Smelter Look-up'!$F$4,$V227-4,0)))</f>
        <v>RMI</v>
      </c>
      <c r="H227" s="216" t="s">
        <v>16183</v>
      </c>
      <c r="I227" s="217" t="s">
        <v>1853</v>
      </c>
      <c r="J227" s="217" t="s">
        <v>13842</v>
      </c>
      <c r="K227" s="268"/>
      <c r="L227" s="268"/>
      <c r="M227" s="268"/>
      <c r="N227" s="268" t="s">
        <v>16184</v>
      </c>
      <c r="O227" s="268" t="s">
        <v>16185</v>
      </c>
      <c r="P227" s="218"/>
      <c r="Q227" s="269" t="s">
        <v>15609</v>
      </c>
      <c r="R227" s="215" t="str">
        <f ca="1">IF(ISERROR($V227),"",OFFSET('Smelter Look-up'!$C$4,$V227-4,0)&amp;"")</f>
        <v>Jiangxi Gan Bei Tungsten Co., Ltd.</v>
      </c>
      <c r="S227" s="222" t="str">
        <f t="shared" ca="1" si="30"/>
        <v>CN</v>
      </c>
      <c r="T227" s="222" t="str">
        <f ca="1">IF(B227="","",IF(ISERROR(MATCH($J227,SorP!$B$1:$B$6230,0)),"",INDIRECT("'SorP'!$A$"&amp;MATCH($J227,SorP!$B$1:$B$6230,0))))</f>
        <v>CN-JX</v>
      </c>
      <c r="U227" s="238"/>
      <c r="V227" s="270">
        <f>IF(C227="",NA(),MATCH($B227&amp;$C227,'Smelter Look-up'!$J:$J,0))</f>
        <v>574</v>
      </c>
      <c r="W227" s="271"/>
      <c r="X227" s="271">
        <f t="shared" si="31"/>
        <v>0</v>
      </c>
      <c r="Y227" s="271"/>
      <c r="Z227" s="271"/>
      <c r="AB227" s="273" t="str">
        <f t="shared" si="32"/>
        <v>TungstenJiangxi Gan Bei Tungsten Co., Ltd.</v>
      </c>
    </row>
    <row r="228" spans="1:28" s="272" customFormat="1" ht="331.5">
      <c r="A228" s="215" t="s">
        <v>145</v>
      </c>
      <c r="B228" s="215" t="s">
        <v>1133</v>
      </c>
      <c r="C228" s="219" t="s">
        <v>156</v>
      </c>
      <c r="D228" s="278" t="s">
        <v>156</v>
      </c>
      <c r="E228" s="215" t="s">
        <v>1100</v>
      </c>
      <c r="F228" s="215" t="str">
        <f ca="1">IF(ISERROR($V228),"",OFFSET('Smelter Look-up'!$E$4,$V228-4,0))</f>
        <v>CID002320</v>
      </c>
      <c r="G228" s="215" t="str">
        <f ca="1">IF(C228=$X$4,"Enter smelter details",IF(ISERROR($V228),"",OFFSET('Smelter Look-up'!$F$4,$V228-4,0)))</f>
        <v>RMI</v>
      </c>
      <c r="H228" s="216" t="s">
        <v>16186</v>
      </c>
      <c r="I228" s="217" t="s">
        <v>1848</v>
      </c>
      <c r="J228" s="217" t="s">
        <v>13841</v>
      </c>
      <c r="K228" s="268"/>
      <c r="L228" s="268"/>
      <c r="M228" s="268"/>
      <c r="N228" s="268" t="s">
        <v>16187</v>
      </c>
      <c r="O228" s="268" t="s">
        <v>16188</v>
      </c>
      <c r="P228" s="218"/>
      <c r="Q228" s="269" t="s">
        <v>15609</v>
      </c>
      <c r="R228" s="215" t="str">
        <f ca="1">IF(ISERROR($V228),"",OFFSET('Smelter Look-up'!$C$4,$V228-4,0)&amp;"")</f>
        <v>Xiamen Tungsten (H.C.) Co., Ltd.</v>
      </c>
      <c r="S228" s="222" t="str">
        <f t="shared" ca="1" si="30"/>
        <v>CN</v>
      </c>
      <c r="T228" s="222" t="str">
        <f ca="1">IF(B228="","",IF(ISERROR(MATCH($J228,SorP!$B$1:$B$6230,0)),"",INDIRECT("'SorP'!$A$"&amp;MATCH($J228,SorP!$B$1:$B$6230,0))))</f>
        <v>CN-FJ</v>
      </c>
      <c r="U228" s="238"/>
      <c r="V228" s="270">
        <f>IF(C228="",NA(),MATCH($B228&amp;$C228,'Smelter Look-up'!$J:$J,0))</f>
        <v>604</v>
      </c>
      <c r="W228" s="271"/>
      <c r="X228" s="271">
        <f t="shared" si="31"/>
        <v>0</v>
      </c>
      <c r="Y228" s="271"/>
      <c r="Z228" s="271"/>
      <c r="AB228" s="273" t="str">
        <f t="shared" si="32"/>
        <v>TungstenXiamen Tungsten (H.C.) Co., Ltd.</v>
      </c>
    </row>
    <row r="229" spans="1:28" s="272" customFormat="1" ht="127.5">
      <c r="A229" s="215" t="s">
        <v>144</v>
      </c>
      <c r="B229" s="215" t="s">
        <v>1133</v>
      </c>
      <c r="C229" s="219" t="s">
        <v>155</v>
      </c>
      <c r="D229" s="278" t="s">
        <v>155</v>
      </c>
      <c r="E229" s="215" t="s">
        <v>1100</v>
      </c>
      <c r="F229" s="215" t="str">
        <f ca="1">IF(ISERROR($V229),"",OFFSET('Smelter Look-up'!$E$4,$V229-4,0))</f>
        <v>CID002319</v>
      </c>
      <c r="G229" s="215" t="str">
        <f ca="1">IF(C229=$X$4,"Enter smelter details",IF(ISERROR($V229),"",OFFSET('Smelter Look-up'!$F$4,$V229-4,0)))</f>
        <v>RMI</v>
      </c>
      <c r="H229" s="216" t="s">
        <v>16189</v>
      </c>
      <c r="I229" s="217" t="s">
        <v>1851</v>
      </c>
      <c r="J229" s="217" t="s">
        <v>13851</v>
      </c>
      <c r="K229" s="268"/>
      <c r="L229" s="268"/>
      <c r="M229" s="268"/>
      <c r="N229" s="268" t="s">
        <v>15755</v>
      </c>
      <c r="O229" s="268" t="s">
        <v>16190</v>
      </c>
      <c r="P229" s="218"/>
      <c r="Q229" s="269" t="s">
        <v>15609</v>
      </c>
      <c r="R229" s="215" t="str">
        <f ca="1">IF(ISERROR($V229),"",OFFSET('Smelter Look-up'!$C$4,$V229-4,0)&amp;"")</f>
        <v>Malipo Haiyu Tungsten Co., Ltd.</v>
      </c>
      <c r="S229" s="222" t="str">
        <f t="shared" ca="1" si="30"/>
        <v>CN</v>
      </c>
      <c r="T229" s="222" t="str">
        <f ca="1">IF(B229="","",IF(ISERROR(MATCH($J229,SorP!$B$1:$B$6230,0)),"",INDIRECT("'SorP'!$A$"&amp;MATCH($J229,SorP!$B$1:$B$6230,0))))</f>
        <v>CN-YN</v>
      </c>
      <c r="U229" s="238"/>
      <c r="V229" s="270">
        <f>IF(C229="",NA(),MATCH($B229&amp;$C229,'Smelter Look-up'!$J:$J,0))</f>
        <v>586</v>
      </c>
      <c r="W229" s="271"/>
      <c r="X229" s="271">
        <f t="shared" si="31"/>
        <v>0</v>
      </c>
      <c r="Y229" s="271"/>
      <c r="Z229" s="271"/>
      <c r="AB229" s="273" t="str">
        <f t="shared" si="32"/>
        <v>TungstenMalipo Haiyu Tungsten Co., Ltd.</v>
      </c>
    </row>
    <row r="230" spans="1:28" s="272" customFormat="1" ht="127.5">
      <c r="A230" s="215" t="s">
        <v>143</v>
      </c>
      <c r="B230" s="215" t="s">
        <v>1133</v>
      </c>
      <c r="C230" s="219" t="s">
        <v>154</v>
      </c>
      <c r="D230" s="278" t="s">
        <v>154</v>
      </c>
      <c r="E230" s="215" t="s">
        <v>1100</v>
      </c>
      <c r="F230" s="215" t="str">
        <f ca="1">IF(ISERROR($V230),"",OFFSET('Smelter Look-up'!$E$4,$V230-4,0))</f>
        <v>CID002318</v>
      </c>
      <c r="G230" s="215" t="str">
        <f ca="1">IF(C230=$X$4,"Enter smelter details",IF(ISERROR($V230),"",OFFSET('Smelter Look-up'!$F$4,$V230-4,0)))</f>
        <v>RMI</v>
      </c>
      <c r="H230" s="216" t="s">
        <v>16191</v>
      </c>
      <c r="I230" s="217" t="s">
        <v>1850</v>
      </c>
      <c r="J230" s="217" t="s">
        <v>13842</v>
      </c>
      <c r="K230" s="268"/>
      <c r="L230" s="268"/>
      <c r="M230" s="268"/>
      <c r="N230" s="268" t="s">
        <v>16112</v>
      </c>
      <c r="O230" s="268" t="s">
        <v>16192</v>
      </c>
      <c r="P230" s="218"/>
      <c r="Q230" s="269" t="s">
        <v>15609</v>
      </c>
      <c r="R230" s="215" t="str">
        <f ca="1">IF(ISERROR($V230),"",OFFSET('Smelter Look-up'!$C$4,$V230-4,0)&amp;"")</f>
        <v>Jiangxi Tonggu Non-ferrous Metallurgical &amp; Chemical Co., Ltd.</v>
      </c>
      <c r="S230" s="222" t="str">
        <f t="shared" ref="S230:S260" ca="1" si="33">IF(B230="","",IF(ISERROR(MATCH($E230,CL,0)),"Unknown",INDIRECT("'C'!$A$"&amp;MATCH($E230,CL,0)+1)))</f>
        <v>CN</v>
      </c>
      <c r="T230" s="222" t="str">
        <f ca="1">IF(B230="","",IF(ISERROR(MATCH($J230,SorP!$B$1:$B$6230,0)),"",INDIRECT("'SorP'!$A$"&amp;MATCH($J230,SorP!$B$1:$B$6230,0))))</f>
        <v>CN-JX</v>
      </c>
      <c r="U230" s="238"/>
      <c r="V230" s="270">
        <f>IF(C230="",NA(),MATCH($B230&amp;$C230,'Smelter Look-up'!$J:$J,0))</f>
        <v>576</v>
      </c>
      <c r="W230" s="271"/>
      <c r="X230" s="271">
        <f t="shared" ref="X230:X260" si="34">IF(AND(C230="Smelter not listed",OR(LEN(D230)=0,LEN(E230)=0)),1,0)</f>
        <v>0</v>
      </c>
      <c r="Y230" s="271"/>
      <c r="Z230" s="271"/>
      <c r="AB230" s="273" t="str">
        <f t="shared" ref="AB230:AB260" si="35">B230&amp;C230</f>
        <v>TungstenJiangxi Tonggu Non-ferrous Metallurgical &amp; Chemical Co., Ltd.</v>
      </c>
    </row>
    <row r="231" spans="1:28" s="272" customFormat="1" ht="114.75">
      <c r="A231" s="215" t="s">
        <v>142</v>
      </c>
      <c r="B231" s="215" t="s">
        <v>1133</v>
      </c>
      <c r="C231" s="219" t="s">
        <v>153</v>
      </c>
      <c r="D231" s="278" t="s">
        <v>153</v>
      </c>
      <c r="E231" s="215" t="s">
        <v>1100</v>
      </c>
      <c r="F231" s="215" t="str">
        <f ca="1">IF(ISERROR($V231),"",OFFSET('Smelter Look-up'!$E$4,$V231-4,0))</f>
        <v>CID002317</v>
      </c>
      <c r="G231" s="215" t="str">
        <f ca="1">IF(C231=$X$4,"Enter smelter details",IF(ISERROR($V231),"",OFFSET('Smelter Look-up'!$F$4,$V231-4,0)))</f>
        <v>RMI</v>
      </c>
      <c r="H231" s="216" t="s">
        <v>16018</v>
      </c>
      <c r="I231" s="217" t="s">
        <v>1787</v>
      </c>
      <c r="J231" s="217" t="s">
        <v>13842</v>
      </c>
      <c r="K231" s="268"/>
      <c r="L231" s="268"/>
      <c r="M231" s="268"/>
      <c r="N231" s="268" t="s">
        <v>16112</v>
      </c>
      <c r="O231" s="268" t="s">
        <v>16193</v>
      </c>
      <c r="P231" s="218"/>
      <c r="Q231" s="269" t="s">
        <v>15609</v>
      </c>
      <c r="R231" s="215" t="str">
        <f ca="1">IF(ISERROR($V231),"",OFFSET('Smelter Look-up'!$C$4,$V231-4,0)&amp;"")</f>
        <v>Jiangxi Xinsheng Tungsten Industry Co., Ltd.</v>
      </c>
      <c r="S231" s="222" t="str">
        <f t="shared" ca="1" si="33"/>
        <v>CN</v>
      </c>
      <c r="T231" s="222" t="str">
        <f ca="1">IF(B231="","",IF(ISERROR(MATCH($J231,SorP!$B$1:$B$6230,0)),"",INDIRECT("'SorP'!$A$"&amp;MATCH($J231,SorP!$B$1:$B$6230,0))))</f>
        <v>CN-JX</v>
      </c>
      <c r="U231" s="238"/>
      <c r="V231" s="270">
        <f>IF(C231="",NA(),MATCH($B231&amp;$C231,'Smelter Look-up'!$J:$J,0))</f>
        <v>579</v>
      </c>
      <c r="W231" s="271"/>
      <c r="X231" s="271">
        <f t="shared" si="34"/>
        <v>0</v>
      </c>
      <c r="Y231" s="271"/>
      <c r="Z231" s="271"/>
      <c r="AB231" s="273" t="str">
        <f t="shared" si="35"/>
        <v>TungstenJiangxi Xinsheng Tungsten Industry Co., Ltd.</v>
      </c>
    </row>
    <row r="232" spans="1:28" s="272" customFormat="1" ht="102">
      <c r="A232" s="215" t="s">
        <v>141</v>
      </c>
      <c r="B232" s="215" t="s">
        <v>1133</v>
      </c>
      <c r="C232" s="219" t="s">
        <v>152</v>
      </c>
      <c r="D232" s="278" t="s">
        <v>152</v>
      </c>
      <c r="E232" s="215" t="s">
        <v>1100</v>
      </c>
      <c r="F232" s="215" t="str">
        <f ca="1">IF(ISERROR($V232),"",OFFSET('Smelter Look-up'!$E$4,$V232-4,0))</f>
        <v>CID002316</v>
      </c>
      <c r="G232" s="215" t="str">
        <f ca="1">IF(C232=$X$4,"Enter smelter details",IF(ISERROR($V232),"",OFFSET('Smelter Look-up'!$F$4,$V232-4,0)))</f>
        <v>RMI</v>
      </c>
      <c r="H232" s="216" t="s">
        <v>16018</v>
      </c>
      <c r="I232" s="217" t="s">
        <v>1787</v>
      </c>
      <c r="J232" s="217" t="s">
        <v>13842</v>
      </c>
      <c r="K232" s="268"/>
      <c r="L232" s="268"/>
      <c r="M232" s="268"/>
      <c r="N232" s="268" t="s">
        <v>16194</v>
      </c>
      <c r="O232" s="268" t="s">
        <v>16195</v>
      </c>
      <c r="P232" s="218"/>
      <c r="Q232" s="269" t="s">
        <v>15609</v>
      </c>
      <c r="R232" s="215" t="str">
        <f ca="1">IF(ISERROR($V232),"",OFFSET('Smelter Look-up'!$C$4,$V232-4,0)&amp;"")</f>
        <v>Jiangxi Yaosheng Tungsten Co., Ltd.</v>
      </c>
      <c r="S232" s="222" t="str">
        <f t="shared" ca="1" si="33"/>
        <v>CN</v>
      </c>
      <c r="T232" s="222" t="str">
        <f ca="1">IF(B232="","",IF(ISERROR(MATCH($J232,SorP!$B$1:$B$6230,0)),"",INDIRECT("'SorP'!$A$"&amp;MATCH($J232,SorP!$B$1:$B$6230,0))))</f>
        <v>CN-JX</v>
      </c>
      <c r="U232" s="238"/>
      <c r="V232" s="270">
        <f>IF(C232="",NA(),MATCH($B232&amp;$C232,'Smelter Look-up'!$J:$J,0))</f>
        <v>580</v>
      </c>
      <c r="W232" s="271"/>
      <c r="X232" s="271">
        <f t="shared" si="34"/>
        <v>0</v>
      </c>
      <c r="Y232" s="271"/>
      <c r="Z232" s="271"/>
      <c r="AB232" s="273" t="str">
        <f t="shared" si="35"/>
        <v>TungstenJiangxi Yaosheng Tungsten Co., Ltd.</v>
      </c>
    </row>
    <row r="233" spans="1:28" s="272" customFormat="1" ht="191.25">
      <c r="A233" s="215" t="s">
        <v>140</v>
      </c>
      <c r="B233" s="215" t="s">
        <v>1133</v>
      </c>
      <c r="C233" s="219" t="s">
        <v>151</v>
      </c>
      <c r="D233" s="278" t="s">
        <v>151</v>
      </c>
      <c r="E233" s="215" t="s">
        <v>1100</v>
      </c>
      <c r="F233" s="215" t="str">
        <f ca="1">IF(ISERROR($V233),"",OFFSET('Smelter Look-up'!$E$4,$V233-4,0))</f>
        <v>CID002315</v>
      </c>
      <c r="G233" s="215" t="str">
        <f ca="1">IF(C233=$X$4,"Enter smelter details",IF(ISERROR($V233),"",OFFSET('Smelter Look-up'!$F$4,$V233-4,0)))</f>
        <v>RMI</v>
      </c>
      <c r="H233" s="216" t="s">
        <v>16018</v>
      </c>
      <c r="I233" s="217" t="s">
        <v>1787</v>
      </c>
      <c r="J233" s="217" t="s">
        <v>13842</v>
      </c>
      <c r="K233" s="268"/>
      <c r="L233" s="268"/>
      <c r="M233" s="268"/>
      <c r="N233" s="268" t="s">
        <v>16156</v>
      </c>
      <c r="O233" s="268" t="s">
        <v>16196</v>
      </c>
      <c r="P233" s="218"/>
      <c r="Q233" s="269" t="s">
        <v>15609</v>
      </c>
      <c r="R233" s="215" t="str">
        <f ca="1">IF(ISERROR($V233),"",OFFSET('Smelter Look-up'!$C$4,$V233-4,0)&amp;"")</f>
        <v>Ganzhou Jiangwu Ferrotungsten Co., Ltd.</v>
      </c>
      <c r="S233" s="222" t="str">
        <f t="shared" ca="1" si="33"/>
        <v>CN</v>
      </c>
      <c r="T233" s="222" t="str">
        <f ca="1">IF(B233="","",IF(ISERROR(MATCH($J233,SorP!$B$1:$B$6230,0)),"",INDIRECT("'SorP'!$A$"&amp;MATCH($J233,SorP!$B$1:$B$6230,0))))</f>
        <v>CN-JX</v>
      </c>
      <c r="U233" s="238"/>
      <c r="V233" s="270">
        <f>IF(C233="",NA(),MATCH($B233&amp;$C233,'Smelter Look-up'!$J:$J,0))</f>
        <v>557</v>
      </c>
      <c r="W233" s="271"/>
      <c r="X233" s="271">
        <f t="shared" si="34"/>
        <v>0</v>
      </c>
      <c r="Y233" s="271"/>
      <c r="Z233" s="271"/>
      <c r="AB233" s="273" t="str">
        <f t="shared" si="35"/>
        <v>TungstenGanzhou Jiangwu Ferrotungsten Co., Ltd.</v>
      </c>
    </row>
    <row r="234" spans="1:28" s="272" customFormat="1" ht="409.5">
      <c r="A234" s="215" t="s">
        <v>803</v>
      </c>
      <c r="B234" s="215" t="s">
        <v>1133</v>
      </c>
      <c r="C234" s="219" t="s">
        <v>1383</v>
      </c>
      <c r="D234" s="278" t="s">
        <v>1383</v>
      </c>
      <c r="E234" s="215" t="s">
        <v>1100</v>
      </c>
      <c r="F234" s="215" t="str">
        <f ca="1">IF(ISERROR($V234),"",OFFSET('Smelter Look-up'!$E$4,$V234-4,0))</f>
        <v>CID002082</v>
      </c>
      <c r="G234" s="215" t="str">
        <f ca="1">IF(C234=$X$4,"Enter smelter details",IF(ISERROR($V234),"",OFFSET('Smelter Look-up'!$F$4,$V234-4,0)))</f>
        <v>RMI</v>
      </c>
      <c r="H234" s="216" t="s">
        <v>16186</v>
      </c>
      <c r="I234" s="217" t="s">
        <v>1848</v>
      </c>
      <c r="J234" s="217" t="s">
        <v>13841</v>
      </c>
      <c r="K234" s="268"/>
      <c r="L234" s="268"/>
      <c r="M234" s="268"/>
      <c r="N234" s="268" t="s">
        <v>16197</v>
      </c>
      <c r="O234" s="268" t="s">
        <v>16198</v>
      </c>
      <c r="P234" s="218"/>
      <c r="Q234" s="269" t="s">
        <v>15609</v>
      </c>
      <c r="R234" s="215" t="str">
        <f ca="1">IF(ISERROR($V234),"",OFFSET('Smelter Look-up'!$C$4,$V234-4,0)&amp;"")</f>
        <v>Xiamen Tungsten Co., Ltd.</v>
      </c>
      <c r="S234" s="222" t="str">
        <f t="shared" ca="1" si="33"/>
        <v>CN</v>
      </c>
      <c r="T234" s="222" t="str">
        <f ca="1">IF(B234="","",IF(ISERROR(MATCH($J234,SorP!$B$1:$B$6230,0)),"",INDIRECT("'SorP'!$A$"&amp;MATCH($J234,SorP!$B$1:$B$6230,0))))</f>
        <v>CN-FJ</v>
      </c>
      <c r="U234" s="238"/>
      <c r="V234" s="270">
        <f>IF(C234="",NA(),MATCH($B234&amp;$C234,'Smelter Look-up'!$J:$J,0))</f>
        <v>605</v>
      </c>
      <c r="W234" s="271"/>
      <c r="X234" s="271">
        <f t="shared" si="34"/>
        <v>0</v>
      </c>
      <c r="Y234" s="271"/>
      <c r="Z234" s="271"/>
      <c r="AB234" s="273" t="str">
        <f t="shared" si="35"/>
        <v>TungstenXiamen Tungsten Co., Ltd.</v>
      </c>
    </row>
    <row r="235" spans="1:28" s="272" customFormat="1" ht="306">
      <c r="A235" s="215" t="s">
        <v>802</v>
      </c>
      <c r="B235" s="215" t="s">
        <v>1133</v>
      </c>
      <c r="C235" s="219" t="s">
        <v>2575</v>
      </c>
      <c r="D235" s="278" t="s">
        <v>2575</v>
      </c>
      <c r="E235" s="215" t="s">
        <v>1094</v>
      </c>
      <c r="F235" s="215" t="str">
        <f ca="1">IF(ISERROR($V235),"",OFFSET('Smelter Look-up'!$E$4,$V235-4,0))</f>
        <v>CID002044</v>
      </c>
      <c r="G235" s="215" t="str">
        <f ca="1">IF(C235=$X$4,"Enter smelter details",IF(ISERROR($V235),"",OFFSET('Smelter Look-up'!$F$4,$V235-4,0)))</f>
        <v>RMI</v>
      </c>
      <c r="H235" s="216" t="s">
        <v>16199</v>
      </c>
      <c r="I235" s="217" t="s">
        <v>1845</v>
      </c>
      <c r="J235" s="217" t="s">
        <v>2847</v>
      </c>
      <c r="K235" s="268"/>
      <c r="L235" s="268"/>
      <c r="M235" s="268"/>
      <c r="N235" s="268" t="s">
        <v>16200</v>
      </c>
      <c r="O235" s="268" t="s">
        <v>16201</v>
      </c>
      <c r="P235" s="218"/>
      <c r="Q235" s="269" t="s">
        <v>15609</v>
      </c>
      <c r="R235" s="215" t="str">
        <f ca="1">IF(ISERROR($V235),"",OFFSET('Smelter Look-up'!$C$4,$V235-4,0)&amp;"")</f>
        <v>Wolfram Bergbau und Hutten AG</v>
      </c>
      <c r="S235" s="222" t="str">
        <f t="shared" ca="1" si="33"/>
        <v>AT</v>
      </c>
      <c r="T235" s="222" t="str">
        <f ca="1">IF(B235="","",IF(ISERROR(MATCH($J235,SorP!$B$1:$B$6230,0)),"",INDIRECT("'SorP'!$A$"&amp;MATCH($J235,SorP!$B$1:$B$6230,0))))</f>
        <v>AT-6</v>
      </c>
      <c r="U235" s="238"/>
      <c r="V235" s="270">
        <f>IF(C235="",NA(),MATCH($B235&amp;$C235,'Smelter Look-up'!$J:$J,0))</f>
        <v>600</v>
      </c>
      <c r="W235" s="271"/>
      <c r="X235" s="271">
        <f t="shared" si="34"/>
        <v>0</v>
      </c>
      <c r="Y235" s="271"/>
      <c r="Z235" s="271"/>
      <c r="AB235" s="273" t="str">
        <f t="shared" si="35"/>
        <v>TungstenWolfram Bergbau und Hutten AG</v>
      </c>
    </row>
    <row r="236" spans="1:28" s="272" customFormat="1" ht="153">
      <c r="A236" s="215" t="s">
        <v>801</v>
      </c>
      <c r="B236" s="215" t="s">
        <v>1133</v>
      </c>
      <c r="C236" s="219" t="s">
        <v>150</v>
      </c>
      <c r="D236" s="278" t="s">
        <v>150</v>
      </c>
      <c r="E236" s="215" t="s">
        <v>2463</v>
      </c>
      <c r="F236" s="215" t="str">
        <f ca="1">IF(ISERROR($V236),"",OFFSET('Smelter Look-up'!$E$4,$V236-4,0))</f>
        <v>CID000966</v>
      </c>
      <c r="G236" s="215" t="str">
        <f ca="1">IF(C236=$X$4,"Enter smelter details",IF(ISERROR($V236),"",OFFSET('Smelter Look-up'!$F$4,$V236-4,0)))</f>
        <v>RMI</v>
      </c>
      <c r="H236" s="216" t="s">
        <v>16202</v>
      </c>
      <c r="I236" s="217" t="s">
        <v>1844</v>
      </c>
      <c r="J236" s="217" t="s">
        <v>1769</v>
      </c>
      <c r="K236" s="268"/>
      <c r="L236" s="268"/>
      <c r="M236" s="268"/>
      <c r="N236" s="268" t="s">
        <v>16203</v>
      </c>
      <c r="O236" s="268" t="s">
        <v>16204</v>
      </c>
      <c r="P236" s="218"/>
      <c r="Q236" s="269" t="s">
        <v>15609</v>
      </c>
      <c r="R236" s="215" t="str">
        <f ca="1">IF(ISERROR($V236),"",OFFSET('Smelter Look-up'!$C$4,$V236-4,0)&amp;"")</f>
        <v>Kennametal Fallon</v>
      </c>
      <c r="S236" s="222" t="str">
        <f t="shared" ca="1" si="33"/>
        <v>US</v>
      </c>
      <c r="T236" s="222" t="str">
        <f ca="1">IF(B236="","",IF(ISERROR(MATCH($J236,SorP!$B$1:$B$6230,0)),"",INDIRECT("'SorP'!$A$"&amp;MATCH($J236,SorP!$B$1:$B$6230,0))))</f>
        <v>US-NV</v>
      </c>
      <c r="U236" s="238"/>
      <c r="V236" s="270">
        <f>IF(C236="",NA(),MATCH($B236&amp;$C236,'Smelter Look-up'!$J:$J,0))</f>
        <v>582</v>
      </c>
      <c r="W236" s="271"/>
      <c r="X236" s="271">
        <f t="shared" si="34"/>
        <v>0</v>
      </c>
      <c r="Y236" s="271"/>
      <c r="Z236" s="271"/>
      <c r="AB236" s="273" t="str">
        <f t="shared" si="35"/>
        <v>TungstenKennametal Fallon</v>
      </c>
    </row>
    <row r="237" spans="1:28" s="272" customFormat="1" ht="165.75">
      <c r="A237" s="215" t="s">
        <v>800</v>
      </c>
      <c r="B237" s="215" t="s">
        <v>1133</v>
      </c>
      <c r="C237" s="219" t="s">
        <v>149</v>
      </c>
      <c r="D237" s="278" t="s">
        <v>149</v>
      </c>
      <c r="E237" s="215" t="s">
        <v>1100</v>
      </c>
      <c r="F237" s="215" t="str">
        <f ca="1">IF(ISERROR($V237),"",OFFSET('Smelter Look-up'!$E$4,$V237-4,0))</f>
        <v>CID000875</v>
      </c>
      <c r="G237" s="215" t="str">
        <f ca="1">IF(C237=$X$4,"Enter smelter details",IF(ISERROR($V237),"",OFFSET('Smelter Look-up'!$F$4,$V237-4,0)))</f>
        <v>RMI</v>
      </c>
      <c r="H237" s="216" t="s">
        <v>16018</v>
      </c>
      <c r="I237" s="217" t="s">
        <v>1787</v>
      </c>
      <c r="J237" s="217" t="s">
        <v>13842</v>
      </c>
      <c r="K237" s="268"/>
      <c r="L237" s="268"/>
      <c r="M237" s="268"/>
      <c r="N237" s="268" t="s">
        <v>16205</v>
      </c>
      <c r="O237" s="268" t="s">
        <v>16206</v>
      </c>
      <c r="P237" s="218"/>
      <c r="Q237" s="269" t="s">
        <v>15609</v>
      </c>
      <c r="R237" s="215" t="str">
        <f ca="1">IF(ISERROR($V237),"",OFFSET('Smelter Look-up'!$C$4,$V237-4,0)&amp;"")</f>
        <v>Ganzhou Huaxing Tungsten Products Co., Ltd.</v>
      </c>
      <c r="S237" s="222" t="str">
        <f t="shared" ca="1" si="33"/>
        <v>CN</v>
      </c>
      <c r="T237" s="222" t="str">
        <f ca="1">IF(B237="","",IF(ISERROR(MATCH($J237,SorP!$B$1:$B$6230,0)),"",INDIRECT("'SorP'!$A$"&amp;MATCH($J237,SorP!$B$1:$B$6230,0))))</f>
        <v>CN-JX</v>
      </c>
      <c r="U237" s="238"/>
      <c r="V237" s="270">
        <f>IF(C237="",NA(),MATCH($B237&amp;$C237,'Smelter Look-up'!$J:$J,0))</f>
        <v>556</v>
      </c>
      <c r="W237" s="271"/>
      <c r="X237" s="271">
        <f t="shared" si="34"/>
        <v>0</v>
      </c>
      <c r="Y237" s="271"/>
      <c r="Z237" s="271"/>
      <c r="AB237" s="273" t="str">
        <f t="shared" si="35"/>
        <v>TungstenGanzhou Huaxing Tungsten Products Co., Ltd.</v>
      </c>
    </row>
    <row r="238" spans="1:28" s="272" customFormat="1" ht="255">
      <c r="A238" s="215" t="s">
        <v>799</v>
      </c>
      <c r="B238" s="215" t="s">
        <v>1133</v>
      </c>
      <c r="C238" s="219" t="s">
        <v>1382</v>
      </c>
      <c r="D238" s="278" t="s">
        <v>1382</v>
      </c>
      <c r="E238" s="215" t="s">
        <v>1108</v>
      </c>
      <c r="F238" s="215" t="str">
        <f ca="1">IF(ISERROR($V238),"",OFFSET('Smelter Look-up'!$E$4,$V238-4,0))</f>
        <v>CID000825</v>
      </c>
      <c r="G238" s="215" t="str">
        <f ca="1">IF(C238=$X$4,"Enter smelter details",IF(ISERROR($V238),"",OFFSET('Smelter Look-up'!$F$4,$V238-4,0)))</f>
        <v>RMI</v>
      </c>
      <c r="H238" s="216" t="s">
        <v>16207</v>
      </c>
      <c r="I238" s="217" t="s">
        <v>2151</v>
      </c>
      <c r="J238" s="217" t="s">
        <v>1582</v>
      </c>
      <c r="K238" s="268"/>
      <c r="L238" s="268"/>
      <c r="M238" s="268"/>
      <c r="N238" s="268" t="s">
        <v>16208</v>
      </c>
      <c r="O238" s="268" t="s">
        <v>16209</v>
      </c>
      <c r="P238" s="218"/>
      <c r="Q238" s="269" t="s">
        <v>15609</v>
      </c>
      <c r="R238" s="215" t="str">
        <f ca="1">IF(ISERROR($V238),"",OFFSET('Smelter Look-up'!$C$4,$V238-4,0)&amp;"")</f>
        <v>Japan New Metals Co., Ltd.</v>
      </c>
      <c r="S238" s="222" t="str">
        <f t="shared" ca="1" si="33"/>
        <v>JP</v>
      </c>
      <c r="T238" s="222" t="str">
        <f ca="1">IF(B238="","",IF(ISERROR(MATCH($J238,SorP!$B$1:$B$6230,0)),"",INDIRECT("'SorP'!$A$"&amp;MATCH($J238,SorP!$B$1:$B$6230,0))))</f>
        <v>JP-05</v>
      </c>
      <c r="U238" s="238"/>
      <c r="V238" s="270">
        <f>IF(C238="",NA(),MATCH($B238&amp;$C238,'Smelter Look-up'!$J:$J,0))</f>
        <v>572</v>
      </c>
      <c r="W238" s="271"/>
      <c r="X238" s="271">
        <f t="shared" si="34"/>
        <v>0</v>
      </c>
      <c r="Y238" s="271"/>
      <c r="Z238" s="271"/>
      <c r="AB238" s="273" t="str">
        <f t="shared" si="35"/>
        <v>TungstenJapan New Metals Co., Ltd.</v>
      </c>
    </row>
    <row r="239" spans="1:28" s="272" customFormat="1" ht="191.25">
      <c r="A239" s="215" t="s">
        <v>798</v>
      </c>
      <c r="B239" s="215" t="s">
        <v>1133</v>
      </c>
      <c r="C239" s="219" t="s">
        <v>1381</v>
      </c>
      <c r="D239" s="278" t="s">
        <v>1381</v>
      </c>
      <c r="E239" s="215" t="s">
        <v>1100</v>
      </c>
      <c r="F239" s="215" t="str">
        <f ca="1">IF(ISERROR($V239),"",OFFSET('Smelter Look-up'!$E$4,$V239-4,0))</f>
        <v>CID000769</v>
      </c>
      <c r="G239" s="215" t="str">
        <f ca="1">IF(C239=$X$4,"Enter smelter details",IF(ISERROR($V239),"",OFFSET('Smelter Look-up'!$F$4,$V239-4,0)))</f>
        <v>RMI</v>
      </c>
      <c r="H239" s="216" t="s">
        <v>15942</v>
      </c>
      <c r="I239" s="217" t="s">
        <v>1752</v>
      </c>
      <c r="J239" s="217" t="s">
        <v>13846</v>
      </c>
      <c r="K239" s="268"/>
      <c r="L239" s="268"/>
      <c r="M239" s="268"/>
      <c r="N239" s="268" t="s">
        <v>16210</v>
      </c>
      <c r="O239" s="268" t="s">
        <v>16211</v>
      </c>
      <c r="P239" s="218"/>
      <c r="Q239" s="269" t="s">
        <v>15609</v>
      </c>
      <c r="R239" s="215" t="str">
        <f ca="1">IF(ISERROR($V239),"",OFFSET('Smelter Look-up'!$C$4,$V239-4,0)&amp;"")</f>
        <v>Hunan Chunchang Nonferrous Metals Co., Ltd.</v>
      </c>
      <c r="S239" s="222" t="str">
        <f t="shared" ca="1" si="33"/>
        <v>CN</v>
      </c>
      <c r="T239" s="222" t="str">
        <f ca="1">IF(B239="","",IF(ISERROR(MATCH($J239,SorP!$B$1:$B$6230,0)),"",INDIRECT("'SorP'!$A$"&amp;MATCH($J239,SorP!$B$1:$B$6230,0))))</f>
        <v>CN-HN</v>
      </c>
      <c r="U239" s="238"/>
      <c r="V239" s="270">
        <f>IF(C239="",NA(),MATCH($B239&amp;$C239,'Smelter Look-up'!$J:$J,0))</f>
        <v>569</v>
      </c>
      <c r="W239" s="271"/>
      <c r="X239" s="271">
        <f t="shared" si="34"/>
        <v>0</v>
      </c>
      <c r="Y239" s="271"/>
      <c r="Z239" s="271"/>
      <c r="AB239" s="273" t="str">
        <f t="shared" si="35"/>
        <v>TungstenHunan Chunchang Nonferrous Metals Co., Ltd.</v>
      </c>
    </row>
    <row r="240" spans="1:28" s="272" customFormat="1" ht="178.5">
      <c r="A240" s="215" t="s">
        <v>797</v>
      </c>
      <c r="B240" s="215" t="s">
        <v>1133</v>
      </c>
      <c r="C240" s="219" t="s">
        <v>2232</v>
      </c>
      <c r="D240" s="278" t="s">
        <v>2232</v>
      </c>
      <c r="E240" s="215" t="s">
        <v>1100</v>
      </c>
      <c r="F240" s="215" t="str">
        <f ca="1">IF(ISERROR($V240),"",OFFSET('Smelter Look-up'!$E$4,$V240-4,0))</f>
        <v>CID000766</v>
      </c>
      <c r="G240" s="215" t="str">
        <f ca="1">IF(C240=$X$4,"Enter smelter details",IF(ISERROR($V240),"",OFFSET('Smelter Look-up'!$F$4,$V240-4,0)))</f>
        <v>RMI</v>
      </c>
      <c r="H240" s="216" t="s">
        <v>16212</v>
      </c>
      <c r="I240" s="217" t="s">
        <v>2150</v>
      </c>
      <c r="J240" s="217" t="s">
        <v>13846</v>
      </c>
      <c r="K240" s="268"/>
      <c r="L240" s="268"/>
      <c r="M240" s="268"/>
      <c r="N240" s="268" t="s">
        <v>16213</v>
      </c>
      <c r="O240" s="268" t="s">
        <v>16214</v>
      </c>
      <c r="P240" s="218"/>
      <c r="Q240" s="269" t="s">
        <v>15609</v>
      </c>
      <c r="R240" s="215" t="str">
        <f ca="1">IF(ISERROR($V240),"",OFFSET('Smelter Look-up'!$C$4,$V240-4,0)&amp;"")</f>
        <v>Hunan Chenzhou Mining Co., Ltd.</v>
      </c>
      <c r="S240" s="222" t="str">
        <f t="shared" ca="1" si="33"/>
        <v>CN</v>
      </c>
      <c r="T240" s="222" t="str">
        <f ca="1">IF(B240="","",IF(ISERROR(MATCH($J240,SorP!$B$1:$B$6230,0)),"",INDIRECT("'SorP'!$A$"&amp;MATCH($J240,SorP!$B$1:$B$6230,0))))</f>
        <v>CN-HN</v>
      </c>
      <c r="U240" s="238"/>
      <c r="V240" s="270">
        <f>IF(C240="",NA(),MATCH($B240&amp;$C240,'Smelter Look-up'!$J:$J,0))</f>
        <v>567</v>
      </c>
      <c r="W240" s="271"/>
      <c r="X240" s="271">
        <f t="shared" si="34"/>
        <v>0</v>
      </c>
      <c r="Y240" s="271"/>
      <c r="Z240" s="271"/>
      <c r="AB240" s="273" t="str">
        <f t="shared" si="35"/>
        <v>TungstenHunan Chenzhou Mining Co., Ltd.</v>
      </c>
    </row>
    <row r="241" spans="1:28" s="272" customFormat="1" ht="318.75">
      <c r="A241" s="215" t="s">
        <v>796</v>
      </c>
      <c r="B241" s="215" t="s">
        <v>1133</v>
      </c>
      <c r="C241" s="219" t="s">
        <v>1</v>
      </c>
      <c r="D241" s="278" t="s">
        <v>1</v>
      </c>
      <c r="E241" s="215" t="s">
        <v>2463</v>
      </c>
      <c r="F241" s="215" t="str">
        <f ca="1">IF(ISERROR($V241),"",OFFSET('Smelter Look-up'!$E$4,$V241-4,0))</f>
        <v>CID000568</v>
      </c>
      <c r="G241" s="215" t="str">
        <f ca="1">IF(C241=$X$4,"Enter smelter details",IF(ISERROR($V241),"",OFFSET('Smelter Look-up'!$F$4,$V241-4,0)))</f>
        <v>RMI</v>
      </c>
      <c r="H241" s="216" t="s">
        <v>16215</v>
      </c>
      <c r="I241" s="217" t="s">
        <v>1841</v>
      </c>
      <c r="J241" s="217" t="s">
        <v>1749</v>
      </c>
      <c r="K241" s="268"/>
      <c r="L241" s="268"/>
      <c r="M241" s="268"/>
      <c r="N241" s="268" t="s">
        <v>16216</v>
      </c>
      <c r="O241" s="268" t="s">
        <v>16217</v>
      </c>
      <c r="P241" s="218"/>
      <c r="Q241" s="269" t="s">
        <v>15609</v>
      </c>
      <c r="R241" s="215" t="str">
        <f ca="1">IF(ISERROR($V241),"",OFFSET('Smelter Look-up'!$C$4,$V241-4,0)&amp;"")</f>
        <v>Global Tungsten &amp; Powders Corp.</v>
      </c>
      <c r="S241" s="222" t="str">
        <f t="shared" ca="1" si="33"/>
        <v>US</v>
      </c>
      <c r="T241" s="222" t="str">
        <f ca="1">IF(B241="","",IF(ISERROR(MATCH($J241,SorP!$B$1:$B$6230,0)),"",INDIRECT("'SorP'!$A$"&amp;MATCH($J241,SorP!$B$1:$B$6230,0))))</f>
        <v>US-PA</v>
      </c>
      <c r="U241" s="238"/>
      <c r="V241" s="270">
        <f>IF(C241="",NA(),MATCH($B241&amp;$C241,'Smelter Look-up'!$J:$J,0))</f>
        <v>560</v>
      </c>
      <c r="W241" s="271"/>
      <c r="X241" s="271">
        <f t="shared" si="34"/>
        <v>0</v>
      </c>
      <c r="Y241" s="271"/>
      <c r="Z241" s="271"/>
      <c r="AB241" s="273" t="str">
        <f t="shared" si="35"/>
        <v>TungstenGlobal Tungsten &amp; Powders Corp.</v>
      </c>
    </row>
    <row r="242" spans="1:28" s="272" customFormat="1" ht="191.25">
      <c r="A242" s="215" t="s">
        <v>795</v>
      </c>
      <c r="B242" s="215" t="s">
        <v>1133</v>
      </c>
      <c r="C242" s="219" t="s">
        <v>1379</v>
      </c>
      <c r="D242" s="278" t="s">
        <v>1379</v>
      </c>
      <c r="E242" s="215" t="s">
        <v>1100</v>
      </c>
      <c r="F242" s="215" t="str">
        <f ca="1">IF(ISERROR($V242),"",OFFSET('Smelter Look-up'!$E$4,$V242-4,0))</f>
        <v>CID000258</v>
      </c>
      <c r="G242" s="215" t="str">
        <f ca="1">IF(C242=$X$4,"Enter smelter details",IF(ISERROR($V242),"",OFFSET('Smelter Look-up'!$F$4,$V242-4,0)))</f>
        <v>RMI</v>
      </c>
      <c r="H242" s="216" t="s">
        <v>16018</v>
      </c>
      <c r="I242" s="217" t="s">
        <v>1787</v>
      </c>
      <c r="J242" s="217" t="s">
        <v>13842</v>
      </c>
      <c r="K242" s="268"/>
      <c r="L242" s="268"/>
      <c r="M242" s="268"/>
      <c r="N242" s="268" t="s">
        <v>16218</v>
      </c>
      <c r="O242" s="268" t="s">
        <v>16219</v>
      </c>
      <c r="P242" s="218"/>
      <c r="Q242" s="269" t="s">
        <v>15609</v>
      </c>
      <c r="R242" s="215" t="str">
        <f ca="1">IF(ISERROR($V242),"",OFFSET('Smelter Look-up'!$C$4,$V242-4,0)&amp;"")</f>
        <v>Chongyi Zhangyuan Tungsten Co., Ltd.</v>
      </c>
      <c r="S242" s="222" t="str">
        <f t="shared" ca="1" si="33"/>
        <v>CN</v>
      </c>
      <c r="T242" s="222" t="str">
        <f ca="1">IF(B242="","",IF(ISERROR(MATCH($J242,SorP!$B$1:$B$6230,0)),"",INDIRECT("'SorP'!$A$"&amp;MATCH($J242,SorP!$B$1:$B$6230,0))))</f>
        <v>CN-JX</v>
      </c>
      <c r="U242" s="238"/>
      <c r="V242" s="270">
        <f>IF(C242="",NA(),MATCH($B242&amp;$C242,'Smelter Look-up'!$J:$J,0))</f>
        <v>550</v>
      </c>
      <c r="W242" s="271"/>
      <c r="X242" s="271">
        <f t="shared" si="34"/>
        <v>0</v>
      </c>
      <c r="Y242" s="271"/>
      <c r="Z242" s="271"/>
      <c r="AB242" s="273" t="str">
        <f t="shared" si="35"/>
        <v>TungstenChongyi Zhangyuan Tungsten Co., Ltd.</v>
      </c>
    </row>
    <row r="243" spans="1:28" s="272" customFormat="1" ht="165.75">
      <c r="A243" s="215" t="s">
        <v>794</v>
      </c>
      <c r="B243" s="215" t="s">
        <v>1133</v>
      </c>
      <c r="C243" s="219" t="s">
        <v>1380</v>
      </c>
      <c r="D243" s="278" t="s">
        <v>1380</v>
      </c>
      <c r="E243" s="215" t="s">
        <v>1100</v>
      </c>
      <c r="F243" s="215" t="str">
        <f ca="1">IF(ISERROR($V243),"",OFFSET('Smelter Look-up'!$E$4,$V243-4,0))</f>
        <v>CID000218</v>
      </c>
      <c r="G243" s="215" t="str">
        <f ca="1">IF(C243=$X$4,"Enter smelter details",IF(ISERROR($V243),"",OFFSET('Smelter Look-up'!$F$4,$V243-4,0)))</f>
        <v>RMI</v>
      </c>
      <c r="H243" s="216" t="s">
        <v>16015</v>
      </c>
      <c r="I243" s="217" t="s">
        <v>1839</v>
      </c>
      <c r="J243" s="217" t="s">
        <v>13847</v>
      </c>
      <c r="K243" s="268"/>
      <c r="L243" s="268"/>
      <c r="M243" s="268"/>
      <c r="N243" s="268" t="s">
        <v>16220</v>
      </c>
      <c r="O243" s="268" t="s">
        <v>16221</v>
      </c>
      <c r="P243" s="218"/>
      <c r="Q243" s="269" t="s">
        <v>15609</v>
      </c>
      <c r="R243" s="215" t="str">
        <f ca="1">IF(ISERROR($V243),"",OFFSET('Smelter Look-up'!$C$4,$V243-4,0)&amp;"")</f>
        <v>Guangdong Xianglu Tungsten Co., Ltd.</v>
      </c>
      <c r="S243" s="222" t="str">
        <f t="shared" ca="1" si="33"/>
        <v>CN</v>
      </c>
      <c r="T243" s="222" t="str">
        <f ca="1">IF(B243="","",IF(ISERROR(MATCH($J243,SorP!$B$1:$B$6230,0)),"",INDIRECT("'SorP'!$A$"&amp;MATCH($J243,SorP!$B$1:$B$6230,0))))</f>
        <v>CN-GD</v>
      </c>
      <c r="U243" s="238"/>
      <c r="V243" s="270">
        <f>IF(C243="",NA(),MATCH($B243&amp;$C243,'Smelter Look-up'!$J:$J,0))</f>
        <v>562</v>
      </c>
      <c r="W243" s="271"/>
      <c r="X243" s="271">
        <f t="shared" si="34"/>
        <v>0</v>
      </c>
      <c r="Y243" s="271"/>
      <c r="Z243" s="271"/>
      <c r="AB243" s="273" t="str">
        <f t="shared" si="35"/>
        <v>TungstenGuangdong Xianglu Tungsten Co., Ltd.</v>
      </c>
    </row>
    <row r="244" spans="1:28" s="272" customFormat="1" ht="127.5">
      <c r="A244" s="215" t="s">
        <v>793</v>
      </c>
      <c r="B244" s="215" t="s">
        <v>1133</v>
      </c>
      <c r="C244" s="219" t="s">
        <v>148</v>
      </c>
      <c r="D244" s="278" t="s">
        <v>148</v>
      </c>
      <c r="E244" s="215" t="s">
        <v>2463</v>
      </c>
      <c r="F244" s="215" t="str">
        <f ca="1">IF(ISERROR($V244),"",OFFSET('Smelter Look-up'!$E$4,$V244-4,0))</f>
        <v>CID000105</v>
      </c>
      <c r="G244" s="215" t="str">
        <f ca="1">IF(C244=$X$4,"Enter smelter details",IF(ISERROR($V244),"",OFFSET('Smelter Look-up'!$F$4,$V244-4,0)))</f>
        <v>RMI</v>
      </c>
      <c r="H244" s="216" t="s">
        <v>16222</v>
      </c>
      <c r="I244" s="217" t="s">
        <v>1837</v>
      </c>
      <c r="J244" s="217" t="s">
        <v>1838</v>
      </c>
      <c r="K244" s="268"/>
      <c r="L244" s="268"/>
      <c r="M244" s="268"/>
      <c r="N244" s="268" t="s">
        <v>16223</v>
      </c>
      <c r="O244" s="268" t="s">
        <v>16224</v>
      </c>
      <c r="P244" s="218"/>
      <c r="Q244" s="269" t="s">
        <v>15609</v>
      </c>
      <c r="R244" s="215" t="str">
        <f ca="1">IF(ISERROR($V244),"",OFFSET('Smelter Look-up'!$C$4,$V244-4,0)&amp;"")</f>
        <v>Kennametal Huntsville</v>
      </c>
      <c r="S244" s="222" t="str">
        <f t="shared" ca="1" si="33"/>
        <v>US</v>
      </c>
      <c r="T244" s="222" t="str">
        <f ca="1">IF(B244="","",IF(ISERROR(MATCH($J244,SorP!$B$1:$B$6230,0)),"",INDIRECT("'SorP'!$A$"&amp;MATCH($J244,SorP!$B$1:$B$6230,0))))</f>
        <v>US-AL</v>
      </c>
      <c r="U244" s="238"/>
      <c r="V244" s="270">
        <f>IF(C244="",NA(),MATCH($B244&amp;$C244,'Smelter Look-up'!$J:$J,0))</f>
        <v>583</v>
      </c>
      <c r="W244" s="271"/>
      <c r="X244" s="271">
        <f t="shared" si="34"/>
        <v>0</v>
      </c>
      <c r="Y244" s="271"/>
      <c r="Z244" s="271"/>
      <c r="AB244" s="273" t="str">
        <f t="shared" si="35"/>
        <v>TungstenKennametal Huntsville</v>
      </c>
    </row>
    <row r="245" spans="1:28" s="272" customFormat="1" ht="178.5">
      <c r="A245" s="215" t="s">
        <v>792</v>
      </c>
      <c r="B245" s="215" t="s">
        <v>1133</v>
      </c>
      <c r="C245" s="219" t="s">
        <v>14037</v>
      </c>
      <c r="D245" s="278" t="s">
        <v>14037</v>
      </c>
      <c r="E245" s="215" t="s">
        <v>1108</v>
      </c>
      <c r="F245" s="215" t="str">
        <f ca="1">IF(ISERROR($V245),"",OFFSET('Smelter Look-up'!$E$4,$V245-4,0))</f>
        <v>CID000004</v>
      </c>
      <c r="G245" s="215" t="str">
        <f ca="1">IF(C245=$X$4,"Enter smelter details",IF(ISERROR($V245),"",OFFSET('Smelter Look-up'!$F$4,$V245-4,0)))</f>
        <v>RMI</v>
      </c>
      <c r="H245" s="216" t="s">
        <v>16225</v>
      </c>
      <c r="I245" s="217" t="s">
        <v>2148</v>
      </c>
      <c r="J245" s="217" t="s">
        <v>2149</v>
      </c>
      <c r="K245" s="268"/>
      <c r="L245" s="268"/>
      <c r="M245" s="268"/>
      <c r="N245" s="268" t="s">
        <v>16226</v>
      </c>
      <c r="O245" s="268" t="s">
        <v>16227</v>
      </c>
      <c r="P245" s="218"/>
      <c r="Q245" s="269" t="s">
        <v>15609</v>
      </c>
      <c r="R245" s="215" t="str">
        <f ca="1">IF(ISERROR($V245),"",OFFSET('Smelter Look-up'!$C$4,$V245-4,0)&amp;"")</f>
        <v>A.L.M.T. Corp.</v>
      </c>
      <c r="S245" s="222" t="str">
        <f t="shared" ca="1" si="33"/>
        <v>JP</v>
      </c>
      <c r="T245" s="222" t="str">
        <f ca="1">IF(B245="","",IF(ISERROR(MATCH($J245,SorP!$B$1:$B$6230,0)),"",INDIRECT("'SorP'!$A$"&amp;MATCH($J245,SorP!$B$1:$B$6230,0))))</f>
        <v>JP-16</v>
      </c>
      <c r="U245" s="238"/>
      <c r="V245" s="270">
        <f>IF(C245="",NA(),MATCH($B245&amp;$C245,'Smelter Look-up'!$J:$J,0))</f>
        <v>533</v>
      </c>
      <c r="W245" s="271"/>
      <c r="X245" s="271">
        <f t="shared" si="34"/>
        <v>0</v>
      </c>
      <c r="Y245" s="271"/>
      <c r="Z245" s="271"/>
      <c r="AB245" s="273" t="str">
        <f t="shared" si="35"/>
        <v>TungstenA.L.M.T. Corp.</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1709300-11FA-4637-977C-56DCCCF57F0B}"/>
    </customSheetView>
  </customSheetViews>
  <mergeCells count="3">
    <mergeCell ref="J2:O2"/>
    <mergeCell ref="B3:E3"/>
    <mergeCell ref="G3:I3"/>
  </mergeCells>
  <phoneticPr fontId="98" type="noConversion"/>
  <conditionalFormatting sqref="B586:B2504">
    <cfRule type="expression" dxfId="59" priority="40" stopIfTrue="1">
      <formula>IF(B586="",TRUE)</formula>
    </cfRule>
    <cfRule type="expression" dxfId="58" priority="51" stopIfTrue="1">
      <formula>IF(AND(COUNTIF(MetalSmelter,B586&amp;C586)=0,LEN(C586)&gt;0),TRUE,FALSE)</formula>
    </cfRule>
  </conditionalFormatting>
  <conditionalFormatting sqref="D586:D2504">
    <cfRule type="expression" dxfId="57" priority="34" stopIfTrue="1">
      <formula>IF(AND(LEN($C586)&gt;0,($C586&lt;&gt;"Smelter Not Listed")),1,0)</formula>
    </cfRule>
    <cfRule type="expression" dxfId="56" priority="59" stopIfTrue="1">
      <formula>IF(AND(D586="",$C586=$X$4),TRUE)</formula>
    </cfRule>
    <cfRule type="expression" dxfId="55" priority="60" stopIfTrue="1">
      <formula>IF(FIND("!",D586),TRUE)</formula>
    </cfRule>
  </conditionalFormatting>
  <conditionalFormatting sqref="G586:G2504">
    <cfRule type="expression" dxfId="54" priority="61" stopIfTrue="1">
      <formula>IF(FIND("Enter smelter details",G586),TRUE)</formula>
    </cfRule>
  </conditionalFormatting>
  <conditionalFormatting sqref="R586:R2505 E586:E2504">
    <cfRule type="expression" dxfId="53" priority="47" stopIfTrue="1">
      <formula>IF(AND(E586="",$C586=$X$4),TRUE)</formula>
    </cfRule>
    <cfRule type="expression" dxfId="52" priority="48" stopIfTrue="1">
      <formula>IF(FIND("!",E586),TRUE)</formula>
    </cfRule>
  </conditionalFormatting>
  <conditionalFormatting sqref="F586:F2504">
    <cfRule type="expression" dxfId="51" priority="38" stopIfTrue="1">
      <formula>IF(AND(LEN($A586)&gt;0,$A586&lt;&gt;$F586),TRUE,FALSE)</formula>
    </cfRule>
  </conditionalFormatting>
  <conditionalFormatting sqref="C586:C2504">
    <cfRule type="expression" dxfId="50" priority="37" stopIfTrue="1">
      <formula>IF(AND(B586&lt;&gt;"",C586=""),TRUE)</formula>
    </cfRule>
  </conditionalFormatting>
  <conditionalFormatting sqref="B21:B585 B5:B19">
    <cfRule type="expression" dxfId="49" priority="16" stopIfTrue="1">
      <formula>IF(B5="",TRUE)</formula>
    </cfRule>
    <cfRule type="expression" dxfId="48" priority="19" stopIfTrue="1">
      <formula>IF(AND(COUNTIF(MetalSmelter,B5&amp;C5)=0,LEN(C5)&gt;0),TRUE,FALSE)</formula>
    </cfRule>
  </conditionalFormatting>
  <conditionalFormatting sqref="D5:D19 D21:D585">
    <cfRule type="expression" dxfId="47" priority="13" stopIfTrue="1">
      <formula>IF(AND(LEN($C5)&gt;0,($C5&lt;&gt;"Smelter Not Listed")),1,0)</formula>
    </cfRule>
    <cfRule type="expression" dxfId="46" priority="20" stopIfTrue="1">
      <formula>IF(AND(D5="",$C5=$X$4),TRUE)</formula>
    </cfRule>
    <cfRule type="expression" dxfId="45" priority="21" stopIfTrue="1">
      <formula>IF(FIND("!",D5),TRUE)</formula>
    </cfRule>
  </conditionalFormatting>
  <conditionalFormatting sqref="G5:G19 G21:G585">
    <cfRule type="expression" dxfId="44" priority="22" stopIfTrue="1">
      <formula>IF(FIND("Enter smelter details",G5),TRUE)</formula>
    </cfRule>
  </conditionalFormatting>
  <conditionalFormatting sqref="R5:R585 E5:E19 E21:E585">
    <cfRule type="expression" dxfId="43" priority="17" stopIfTrue="1">
      <formula>IF(AND(E5="",$C5=$X$4),TRUE)</formula>
    </cfRule>
    <cfRule type="expression" dxfId="42" priority="18" stopIfTrue="1">
      <formula>IF(FIND("!",E5),TRUE)</formula>
    </cfRule>
  </conditionalFormatting>
  <conditionalFormatting sqref="F5:F19 F21:F585">
    <cfRule type="expression" dxfId="41" priority="15" stopIfTrue="1">
      <formula>IF(AND(LEN($A5)&gt;0,$A5&lt;&gt;$F5),TRUE,FALSE)</formula>
    </cfRule>
  </conditionalFormatting>
  <conditionalFormatting sqref="C21:C585 C5:C19">
    <cfRule type="expression" dxfId="40" priority="14" stopIfTrue="1">
      <formula>IF(AND(B5&lt;&gt;"",C5=""),TRUE)</formula>
    </cfRule>
  </conditionalFormatting>
  <conditionalFormatting sqref="B20">
    <cfRule type="expression" dxfId="39" priority="6" stopIfTrue="1">
      <formula>IF(B20="",TRUE)</formula>
    </cfRule>
    <cfRule type="expression" dxfId="38" priority="9" stopIfTrue="1">
      <formula>IF(AND(COUNTIF(MetalSmelter,B20&amp;C20)=0,LEN(C20)&gt;0),TRUE,FALSE)</formula>
    </cfRule>
  </conditionalFormatting>
  <conditionalFormatting sqref="D20">
    <cfRule type="expression" dxfId="37" priority="3" stopIfTrue="1">
      <formula>IF(AND(LEN($C20)&gt;0,($C20&lt;&gt;"Smelter Not Listed")),1,0)</formula>
    </cfRule>
    <cfRule type="expression" dxfId="36" priority="10" stopIfTrue="1">
      <formula>IF(AND(D20="",$C20=$X$4),TRUE)</formula>
    </cfRule>
    <cfRule type="expression" dxfId="35" priority="11" stopIfTrue="1">
      <formula>IF(FIND("!",D20),TRUE)</formula>
    </cfRule>
  </conditionalFormatting>
  <conditionalFormatting sqref="G20">
    <cfRule type="expression" dxfId="34" priority="12" stopIfTrue="1">
      <formula>IF(FIND("Enter smelter details",G20),TRUE)</formula>
    </cfRule>
  </conditionalFormatting>
  <conditionalFormatting sqref="E20">
    <cfRule type="expression" dxfId="33" priority="7" stopIfTrue="1">
      <formula>IF(AND(E20="",$C20=$X$4),TRUE)</formula>
    </cfRule>
    <cfRule type="expression" dxfId="32" priority="8" stopIfTrue="1">
      <formula>IF(FIND("!",E20),TRUE)</formula>
    </cfRule>
  </conditionalFormatting>
  <conditionalFormatting sqref="F20">
    <cfRule type="expression" dxfId="31" priority="5" stopIfTrue="1">
      <formula>IF(AND(LEN($A20)&gt;0,$A20&lt;&gt;$F20),TRUE,FALSE)</formula>
    </cfRule>
  </conditionalFormatting>
  <conditionalFormatting sqref="C20">
    <cfRule type="expression" dxfId="30" priority="4" stopIfTrue="1">
      <formula>IF(AND(B20&lt;&gt;"",C20=""),TRUE)</formula>
    </cfRule>
  </conditionalFormatting>
  <conditionalFormatting sqref="A5:A19 A21:A245">
    <cfRule type="expression" dxfId="29" priority="2" stopIfTrue="1">
      <formula>IF(AND(LEN($A5)&gt;0,$A5&lt;&gt;$F5),TRUE,FALSE)</formula>
    </cfRule>
  </conditionalFormatting>
  <conditionalFormatting sqref="A20">
    <cfRule type="expression" dxfId="28" priority="1" stopIfTrue="1">
      <formula>IF(AND(LEN($A20)&gt;0,$A20&lt;&gt;$F20),TRUE,FALSE)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9" t="str">
        <f ca="1">OFFSET(L!$C$1,MATCH("Checker"&amp;ADDRESS(ROW(),COLUMN(),4),L!$A:$A,0)-1,SL,,)</f>
        <v>To ensure all required fields have been populated before submitting to your customers review form for any line items highlighted in red</v>
      </c>
      <c r="B1" s="449"/>
      <c r="C1" s="449"/>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GN Audio A/S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Srinivasulu Reddy Mule</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srmule@jabra.com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+45 30548854</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Srinivasulu Reddy Mule</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srmule@jabra.com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44438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https://www.gn.com/-/media/Files/Document-Download-Center/Corporate-responsibility/GN-Conflict-Minerals-Policy.pdf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1" t="str">
        <f ca="1">OFFSET(L!$C$1,MATCH("Product List"&amp;ADDRESS(ROW(),COLUMN(),4),L!$A:$A,0)-1,SL,,)</f>
        <v>Completion required only if reporting level "Product (or List of Products)" selected on the 'Declaration' worksheet.</v>
      </c>
      <c r="B1" s="452"/>
      <c r="C1" s="452"/>
      <c r="D1" s="452"/>
      <c r="E1" s="145"/>
    </row>
    <row r="2" spans="1:6">
      <c r="A2" s="29"/>
      <c r="B2" s="147"/>
      <c r="C2" s="147"/>
      <c r="D2"/>
      <c r="E2" s="30"/>
    </row>
    <row r="3" spans="1:6">
      <c r="A3" s="29"/>
      <c r="B3" s="147"/>
      <c r="C3" s="147"/>
      <c r="D3" s="147"/>
      <c r="E3" s="30"/>
    </row>
    <row r="4" spans="1:6" ht="15.75" customHeight="1">
      <c r="A4" s="29"/>
      <c r="B4" s="450" t="s">
        <v>898</v>
      </c>
      <c r="C4" s="450"/>
      <c r="D4" s="450"/>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3" t="str">
        <f ca="1">OFFSET(L!$C$1,MATCH("General"&amp;"Cpy",L!$A:$A,0)-1,SL,,)</f>
        <v>© 2021 Responsible Minerals Initiative. All rights reserved.</v>
      </c>
      <c r="C1001" s="453"/>
      <c r="D1001" s="453"/>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8"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80" zoomScaleNormal="8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4"/>
      <c r="C1" s="454"/>
      <c r="D1" s="454"/>
      <c r="E1" s="454"/>
      <c r="F1" s="454"/>
      <c r="G1" s="454"/>
    </row>
    <row r="2" spans="1:16">
      <c r="A2" s="455"/>
      <c r="B2" s="455"/>
      <c r="C2" s="455"/>
      <c r="D2" s="455"/>
      <c r="E2" s="455"/>
      <c r="F2" s="455"/>
      <c r="G2" s="455"/>
      <c r="H2" s="455"/>
      <c r="I2" s="455"/>
    </row>
    <row r="3" spans="1:16">
      <c r="A3" s="455"/>
      <c r="B3" s="455"/>
      <c r="C3" s="455"/>
      <c r="D3" s="455"/>
      <c r="E3" s="455"/>
      <c r="F3" s="455"/>
      <c r="G3" s="455"/>
      <c r="H3" s="455"/>
      <c r="I3" s="455"/>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Srinivasulu Reddy Mule</cp:lastModifiedBy>
  <cp:lastPrinted>2015-04-21T20:47:43Z</cp:lastPrinted>
  <dcterms:created xsi:type="dcterms:W3CDTF">2010-06-21T21:00:23Z</dcterms:created>
  <dcterms:modified xsi:type="dcterms:W3CDTF">2021-10-26T15:47:23Z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